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codeName="EstaPastaDeTrabalho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68f7fe99ae13192d/RCEOS Consultoria/Projetos/Suape/Relatório 7 - Reequilibrio/7º TA - Relatório Final/"/>
    </mc:Choice>
  </mc:AlternateContent>
  <xr:revisionPtr revIDLastSave="0" documentId="8_{47BB52EA-0277-46CB-BDBA-A3915C3EFCBD}" xr6:coauthVersionLast="47" xr6:coauthVersionMax="47" xr10:uidLastSave="{00000000-0000-0000-0000-000000000000}"/>
  <bookViews>
    <workbookView xWindow="-120" yWindow="-120" windowWidth="20730" windowHeight="11040" tabRatio="908" activeTab="1" xr2:uid="{00000000-000D-0000-FFFF-FFFF00000000}"/>
  </bookViews>
  <sheets>
    <sheet name="Quadro TBP Reeq" sheetId="57" r:id="rId1"/>
    <sheet name="Painel de Controle" sheetId="41" r:id="rId2"/>
    <sheet name="QD0" sheetId="40" r:id="rId3"/>
    <sheet name="QDA" sheetId="22" r:id="rId4"/>
    <sheet name="QDB" sheetId="33" r:id="rId5"/>
    <sheet name="QDC" sheetId="4" r:id="rId6"/>
    <sheet name="QDD" sheetId="5" r:id="rId7"/>
    <sheet name="QDE" sheetId="28" r:id="rId8"/>
    <sheet name="QDF" sheetId="29" r:id="rId9"/>
    <sheet name="QDG" sheetId="6" r:id="rId10"/>
    <sheet name="QDH" sheetId="23" r:id="rId11"/>
    <sheet name="QDI" sheetId="24" r:id="rId12"/>
    <sheet name="QDJ" sheetId="25" r:id="rId13"/>
    <sheet name="QDK" sheetId="27" r:id="rId14"/>
    <sheet name="QDL" sheetId="31" r:id="rId15"/>
    <sheet name="QDM" sheetId="32" r:id="rId16"/>
    <sheet name="BP Desalavancado" sheetId="35" r:id="rId17"/>
    <sheet name="BP Alavancado" sheetId="34" r:id="rId18"/>
    <sheet name="Base lista de opções" sheetId="43" state="hidden" r:id="rId19"/>
    <sheet name="Série Histórica IPCA" sheetId="44" r:id="rId20"/>
    <sheet name="Exclusões de M&amp;E" sheetId="45" r:id="rId21"/>
    <sheet name="Postergações VI e RE" sheetId="64" r:id="rId22"/>
    <sheet name="Locação Passarela" sheetId="67" r:id="rId23"/>
    <sheet name="8.1 Verba para PMRV" sheetId="46" r:id="rId24"/>
    <sheet name="Levantamento eixo suspenso ADT3" sheetId="47" r:id="rId25"/>
    <sheet name="Conserva de Rotina V CRA" sheetId="50" r:id="rId26"/>
    <sheet name="Receitas Acessórias" sheetId="51" r:id="rId27"/>
    <sheet name="Eixo Suspenso Pleito 6" sheetId="55" r:id="rId28"/>
    <sheet name="Perda de Receita Covid19" sheetId="61" r:id="rId29"/>
  </sheets>
  <definedNames>
    <definedName name="\\\">recuperação #REF!</definedName>
    <definedName name="\\\\\\0kgfnj" localSheetId="27">#REF!</definedName>
    <definedName name="\\\\\\0kgfnj">#REF!</definedName>
    <definedName name="\0" localSheetId="27">#REF!</definedName>
    <definedName name="\0">#REF!</definedName>
    <definedName name="\a" localSheetId="27">#REF!</definedName>
    <definedName name="\a">#REF!</definedName>
    <definedName name="\b">#REF!</definedName>
    <definedName name="\c">#REF!</definedName>
    <definedName name="\d">#REF!</definedName>
    <definedName name="\df">#N/A</definedName>
    <definedName name="\e" localSheetId="27">#REF!</definedName>
    <definedName name="\e">#REF!</definedName>
    <definedName name="\f" localSheetId="27">#REF!</definedName>
    <definedName name="\f">#REF!</definedName>
    <definedName name="\PRINT_BALANCO" localSheetId="27">#REF!</definedName>
    <definedName name="\PRINT_BALANCO">#REF!</definedName>
    <definedName name="\r">#REF!</definedName>
    <definedName name="__________" localSheetId="0" hidden="1">#REF!</definedName>
    <definedName name="__________" hidden="1">#REF!</definedName>
    <definedName name="__________________________________inv2">#REF!</definedName>
    <definedName name="_________________________________INV12" localSheetId="27">#REF!</definedName>
    <definedName name="_________________________________INV12">#REF!</definedName>
    <definedName name="_________________________________INV13" localSheetId="27">#REF!</definedName>
    <definedName name="_________________________________INV13">#REF!</definedName>
    <definedName name="_________________________________inv2">#REF!</definedName>
    <definedName name="________________________________INV12" localSheetId="27">#REF!</definedName>
    <definedName name="________________________________INV12">#REF!</definedName>
    <definedName name="________________________________INV13" localSheetId="27">#REF!</definedName>
    <definedName name="________________________________INV13">#REF!</definedName>
    <definedName name="________________________________inv2">#REF!</definedName>
    <definedName name="_______________________________INV12" localSheetId="27">#REF!</definedName>
    <definedName name="_______________________________INV12">#REF!</definedName>
    <definedName name="_______________________________INV13" localSheetId="27">#REF!</definedName>
    <definedName name="_______________________________INV13">#REF!</definedName>
    <definedName name="_______________________________inv2">#REF!</definedName>
    <definedName name="______________________________INV12" localSheetId="27">#REF!</definedName>
    <definedName name="______________________________INV12">#REF!</definedName>
    <definedName name="______________________________INV13" localSheetId="27">#REF!</definedName>
    <definedName name="______________________________INV13">#REF!</definedName>
    <definedName name="______________________________inv2">#REF!</definedName>
    <definedName name="_____________________________INV12" localSheetId="27">#REF!</definedName>
    <definedName name="_____________________________INV12">#REF!</definedName>
    <definedName name="_____________________________INV13" localSheetId="27">#REF!</definedName>
    <definedName name="_____________________________INV13">#REF!</definedName>
    <definedName name="_____________________________inv2">#REF!</definedName>
    <definedName name="_____________________________la29" localSheetId="27" hidden="1">#REF!</definedName>
    <definedName name="_____________________________la29" localSheetId="0" hidden="1">#REF!</definedName>
    <definedName name="_____________________________la29" hidden="1">#REF!</definedName>
    <definedName name="_____________________________la3" localSheetId="27" hidden="1">#REF!</definedName>
    <definedName name="_____________________________la3" localSheetId="0" hidden="1">#REF!</definedName>
    <definedName name="_____________________________la3" hidden="1">#REF!</definedName>
    <definedName name="_____________________________la31" localSheetId="27" hidden="1">#REF!</definedName>
    <definedName name="_____________________________la31" localSheetId="0" hidden="1">#REF!</definedName>
    <definedName name="_____________________________la31" hidden="1">#REF!</definedName>
    <definedName name="_____________________________la32" localSheetId="0" hidden="1">#REF!</definedName>
    <definedName name="_____________________________la32" hidden="1">#REF!</definedName>
    <definedName name="_____________________________la4" localSheetId="0" hidden="1">#REF!</definedName>
    <definedName name="_____________________________la4" hidden="1">#REF!</definedName>
    <definedName name="_____________________________la5" localSheetId="0" hidden="1">#REF!</definedName>
    <definedName name="_____________________________la5" hidden="1">#REF!</definedName>
    <definedName name="_____________________________la6" localSheetId="0" hidden="1">#REF!</definedName>
    <definedName name="_____________________________la6" hidden="1">#REF!</definedName>
    <definedName name="_____________________________la7" localSheetId="0" hidden="1">#REF!</definedName>
    <definedName name="_____________________________la7" hidden="1">#REF!</definedName>
    <definedName name="_____________________________la8" localSheetId="0" hidden="1">#REF!</definedName>
    <definedName name="_____________________________la8" hidden="1">#REF!</definedName>
    <definedName name="_____________________________la9" localSheetId="0" hidden="1">#REF!</definedName>
    <definedName name="_____________________________la9" hidden="1">#REF!</definedName>
    <definedName name="_____________________________lb1" localSheetId="0" hidden="1">#REF!</definedName>
    <definedName name="_____________________________lb1" hidden="1">#REF!</definedName>
    <definedName name="_____________________________lb10" localSheetId="0" hidden="1">#REF!</definedName>
    <definedName name="_____________________________lb10" hidden="1">#REF!</definedName>
    <definedName name="_____________________________lb11" localSheetId="0" hidden="1">#REF!</definedName>
    <definedName name="_____________________________lb11" hidden="1">#REF!</definedName>
    <definedName name="_____________________________lb12" localSheetId="0" hidden="1">#REF!</definedName>
    <definedName name="_____________________________lb12" hidden="1">#REF!</definedName>
    <definedName name="_____________________________lb13" localSheetId="0" hidden="1">#REF!</definedName>
    <definedName name="_____________________________lb13" hidden="1">#REF!</definedName>
    <definedName name="_____________________________lb14" localSheetId="0" hidden="1">#REF!</definedName>
    <definedName name="_____________________________lb14" hidden="1">#REF!</definedName>
    <definedName name="_____________________________lb15" localSheetId="0" hidden="1">#REF!</definedName>
    <definedName name="_____________________________lb15" hidden="1">#REF!</definedName>
    <definedName name="_____________________________lb16" localSheetId="0" hidden="1">#REF!</definedName>
    <definedName name="_____________________________lb16" hidden="1">#REF!</definedName>
    <definedName name="_____________________________lb17" localSheetId="0" hidden="1">#REF!</definedName>
    <definedName name="_____________________________lb17" hidden="1">#REF!</definedName>
    <definedName name="_____________________________lb18" localSheetId="0" hidden="1">#REF!</definedName>
    <definedName name="_____________________________lb18" hidden="1">#REF!</definedName>
    <definedName name="_____________________________lb19" localSheetId="0" hidden="1">#REF!</definedName>
    <definedName name="_____________________________lb19" hidden="1">#REF!</definedName>
    <definedName name="_____________________________lb2" localSheetId="0" hidden="1">#REF!</definedName>
    <definedName name="_____________________________lb2" hidden="1">#REF!</definedName>
    <definedName name="_____________________________lb20" localSheetId="0" hidden="1">#REF!</definedName>
    <definedName name="_____________________________lb20" hidden="1">#REF!</definedName>
    <definedName name="_____________________________lb21" localSheetId="0" hidden="1">#REF!</definedName>
    <definedName name="_____________________________lb21" hidden="1">#REF!</definedName>
    <definedName name="_____________________________lb22" localSheetId="0" hidden="1">#REF!</definedName>
    <definedName name="_____________________________lb22" hidden="1">#REF!</definedName>
    <definedName name="_____________________________lb23" localSheetId="0" hidden="1">#REF!</definedName>
    <definedName name="_____________________________lb23" hidden="1">#REF!</definedName>
    <definedName name="_____________________________lb24" localSheetId="0" hidden="1">#REF!</definedName>
    <definedName name="_____________________________lb24" hidden="1">#REF!</definedName>
    <definedName name="_____________________________lb25" localSheetId="0" hidden="1">#REF!</definedName>
    <definedName name="_____________________________lb25" hidden="1">#REF!</definedName>
    <definedName name="_____________________________lb27" localSheetId="0" hidden="1">#REF!</definedName>
    <definedName name="_____________________________lb27" hidden="1">#REF!</definedName>
    <definedName name="_____________________________lb28" localSheetId="0" hidden="1">#REF!</definedName>
    <definedName name="_____________________________lb28" hidden="1">#REF!</definedName>
    <definedName name="_____________________________lb29" localSheetId="0" hidden="1">#REF!</definedName>
    <definedName name="_____________________________lb29" hidden="1">#REF!</definedName>
    <definedName name="_____________________________lb3" localSheetId="0" hidden="1">#REF!</definedName>
    <definedName name="_____________________________lb3" hidden="1">#REF!</definedName>
    <definedName name="_____________________________lb30" localSheetId="0" hidden="1">#REF!</definedName>
    <definedName name="_____________________________lb30" hidden="1">#REF!</definedName>
    <definedName name="_____________________________lb31" localSheetId="0" hidden="1">#REF!</definedName>
    <definedName name="_____________________________lb31" hidden="1">#REF!</definedName>
    <definedName name="_____________________________lb32" localSheetId="0" hidden="1">#REF!</definedName>
    <definedName name="_____________________________lb32" hidden="1">#REF!</definedName>
    <definedName name="_____________________________lb4" localSheetId="0" hidden="1">#REF!</definedName>
    <definedName name="_____________________________lb4" hidden="1">#REF!</definedName>
    <definedName name="_____________________________lb5" localSheetId="0" hidden="1">#REF!</definedName>
    <definedName name="_____________________________lb5" hidden="1">#REF!</definedName>
    <definedName name="_____________________________lb6" localSheetId="0" hidden="1">#REF!</definedName>
    <definedName name="_____________________________lb6" hidden="1">#REF!</definedName>
    <definedName name="_____________________________lb7" localSheetId="0" hidden="1">#REF!</definedName>
    <definedName name="_____________________________lb7" hidden="1">#REF!</definedName>
    <definedName name="_____________________________lb8" localSheetId="0" hidden="1">#REF!</definedName>
    <definedName name="_____________________________lb8" hidden="1">#REF!</definedName>
    <definedName name="_____________________________lb9" localSheetId="0" hidden="1">#REF!</definedName>
    <definedName name="_____________________________lb9" hidden="1">#REF!</definedName>
    <definedName name="_____________________________lbc1" localSheetId="0" hidden="1">#REF!</definedName>
    <definedName name="_____________________________lbc1" hidden="1">#REF!</definedName>
    <definedName name="_____________________________lbc10" localSheetId="0" hidden="1">#REF!</definedName>
    <definedName name="_____________________________lbc10" hidden="1">#REF!</definedName>
    <definedName name="_____________________________lbc11" localSheetId="0" hidden="1">#REF!</definedName>
    <definedName name="_____________________________lbc11" hidden="1">#REF!</definedName>
    <definedName name="_____________________________lbc12" localSheetId="0" hidden="1">#REF!</definedName>
    <definedName name="_____________________________lbc12" hidden="1">#REF!</definedName>
    <definedName name="_____________________________lbc13" localSheetId="0" hidden="1">#REF!</definedName>
    <definedName name="_____________________________lbc13" hidden="1">#REF!</definedName>
    <definedName name="_____________________________lbc14" localSheetId="0" hidden="1">#REF!</definedName>
    <definedName name="_____________________________lbc14" hidden="1">#REF!</definedName>
    <definedName name="_____________________________lbc15" localSheetId="0" hidden="1">#REF!</definedName>
    <definedName name="_____________________________lbc15" hidden="1">#REF!</definedName>
    <definedName name="_____________________________lbc16" localSheetId="0" hidden="1">#REF!</definedName>
    <definedName name="_____________________________lbc16" hidden="1">#REF!</definedName>
    <definedName name="_____________________________lbc17" localSheetId="0" hidden="1">#REF!</definedName>
    <definedName name="_____________________________lbc17" hidden="1">#REF!</definedName>
    <definedName name="_____________________________lbc18" localSheetId="0" hidden="1">#REF!</definedName>
    <definedName name="_____________________________lbc18" hidden="1">#REF!</definedName>
    <definedName name="_____________________________lbc19" localSheetId="0" hidden="1">#REF!</definedName>
    <definedName name="_____________________________lbc19" hidden="1">#REF!</definedName>
    <definedName name="_____________________________lbc2" localSheetId="0" hidden="1">#REF!</definedName>
    <definedName name="_____________________________lbc2" hidden="1">#REF!</definedName>
    <definedName name="_____________________________lbc20" localSheetId="0" hidden="1">#REF!</definedName>
    <definedName name="_____________________________lbc20" hidden="1">#REF!</definedName>
    <definedName name="_____________________________lbc21" localSheetId="0" hidden="1">#REF!</definedName>
    <definedName name="_____________________________lbc21" hidden="1">#REF!</definedName>
    <definedName name="_____________________________lbc22" localSheetId="0" hidden="1">#REF!</definedName>
    <definedName name="_____________________________lbc22" hidden="1">#REF!</definedName>
    <definedName name="_____________________________lbc23" localSheetId="0" hidden="1">#REF!</definedName>
    <definedName name="_____________________________lbc23" hidden="1">#REF!</definedName>
    <definedName name="_____________________________lbc24" localSheetId="0" hidden="1">#REF!</definedName>
    <definedName name="_____________________________lbc24" hidden="1">#REF!</definedName>
    <definedName name="_____________________________lbc25" localSheetId="0" hidden="1">#REF!</definedName>
    <definedName name="_____________________________lbc25" hidden="1">#REF!</definedName>
    <definedName name="_____________________________lbc26" localSheetId="0" hidden="1">#REF!</definedName>
    <definedName name="_____________________________lbc26" hidden="1">#REF!</definedName>
    <definedName name="_____________________________lbc27" localSheetId="0" hidden="1">#REF!</definedName>
    <definedName name="_____________________________lbc27" hidden="1">#REF!</definedName>
    <definedName name="_____________________________lbc28" localSheetId="0" hidden="1">#REF!</definedName>
    <definedName name="_____________________________lbc28" hidden="1">#REF!</definedName>
    <definedName name="_____________________________lbc29" localSheetId="0" hidden="1">#REF!</definedName>
    <definedName name="_____________________________lbc29" hidden="1">#REF!</definedName>
    <definedName name="_____________________________lbc3" localSheetId="0" hidden="1">#REF!</definedName>
    <definedName name="_____________________________lbc3" hidden="1">#REF!</definedName>
    <definedName name="_____________________________lbc31" localSheetId="0" hidden="1">#REF!</definedName>
    <definedName name="_____________________________lbc31" hidden="1">#REF!</definedName>
    <definedName name="_____________________________lbc32" localSheetId="0" hidden="1">#REF!</definedName>
    <definedName name="_____________________________lbc32" hidden="1">#REF!</definedName>
    <definedName name="_____________________________lbc4" localSheetId="0" hidden="1">#REF!</definedName>
    <definedName name="_____________________________lbc4" hidden="1">#REF!</definedName>
    <definedName name="_____________________________lbc5" localSheetId="0" hidden="1">#REF!</definedName>
    <definedName name="_____________________________lbc5" hidden="1">#REF!</definedName>
    <definedName name="_____________________________lbc6" localSheetId="0" hidden="1">#REF!</definedName>
    <definedName name="_____________________________lbc6" hidden="1">#REF!</definedName>
    <definedName name="_____________________________lbc7" localSheetId="0" hidden="1">#REF!</definedName>
    <definedName name="_____________________________lbc7" hidden="1">#REF!</definedName>
    <definedName name="_____________________________lbc8" localSheetId="0" hidden="1">#REF!</definedName>
    <definedName name="_____________________________lbc8" hidden="1">#REF!</definedName>
    <definedName name="_____________________________lbc9" localSheetId="0" hidden="1">#REF!</definedName>
    <definedName name="_____________________________lbc9" hidden="1">#REF!</definedName>
    <definedName name="_____________________________ld26" localSheetId="0" hidden="1">#REF!</definedName>
    <definedName name="_____________________________ld26" hidden="1">#REF!</definedName>
    <definedName name="_____________________________ld31" localSheetId="0" hidden="1">#REF!</definedName>
    <definedName name="_____________________________ld31" hidden="1">#REF!</definedName>
    <definedName name="_____________________________le31" localSheetId="0" hidden="1">#REF!</definedName>
    <definedName name="_____________________________le31" hidden="1">#REF!</definedName>
    <definedName name="_____________________________lf31" localSheetId="0" hidden="1">#REF!</definedName>
    <definedName name="_____________________________lf31" hidden="1">#REF!</definedName>
    <definedName name="_____________________________x10" localSheetId="0" hidden="1">#REF!</definedName>
    <definedName name="_____________________________x10" hidden="1">#REF!</definedName>
    <definedName name="_____________________________x11" localSheetId="0" hidden="1">#REF!</definedName>
    <definedName name="_____________________________x11" hidden="1">#REF!</definedName>
    <definedName name="_____________________________x12" localSheetId="0" hidden="1">#REF!</definedName>
    <definedName name="_____________________________x12" hidden="1">#REF!</definedName>
    <definedName name="_____________________________x13" localSheetId="0" hidden="1">#REF!</definedName>
    <definedName name="_____________________________x13" hidden="1">#REF!</definedName>
    <definedName name="_____________________________x14" localSheetId="0" hidden="1">#REF!</definedName>
    <definedName name="_____________________________x14" hidden="1">#REF!</definedName>
    <definedName name="_____________________________x15" localSheetId="0" hidden="1">#REF!</definedName>
    <definedName name="_____________________________x15" hidden="1">#REF!</definedName>
    <definedName name="_____________________________x16" localSheetId="0" hidden="1">#REF!</definedName>
    <definedName name="_____________________________x16" hidden="1">#REF!</definedName>
    <definedName name="_____________________________x17" localSheetId="0" hidden="1">#REF!</definedName>
    <definedName name="_____________________________x17" hidden="1">#REF!</definedName>
    <definedName name="_____________________________x18" localSheetId="0" hidden="1">#REF!</definedName>
    <definedName name="_____________________________x18" hidden="1">#REF!</definedName>
    <definedName name="_____________________________x19" localSheetId="0" hidden="1">#REF!</definedName>
    <definedName name="_____________________________x19" hidden="1">#REF!</definedName>
    <definedName name="_____________________________x20" localSheetId="0" hidden="1">#REF!</definedName>
    <definedName name="_____________________________x20" hidden="1">#REF!</definedName>
    <definedName name="_____________________________x21" localSheetId="0" hidden="1">#REF!</definedName>
    <definedName name="_____________________________x21" hidden="1">#REF!</definedName>
    <definedName name="_____________________________x22" localSheetId="0" hidden="1">#REF!</definedName>
    <definedName name="_____________________________x22" hidden="1">#REF!</definedName>
    <definedName name="_____________________________x23" localSheetId="0" hidden="1">#REF!</definedName>
    <definedName name="_____________________________x23" hidden="1">#REF!</definedName>
    <definedName name="_____________________________x24" localSheetId="0" hidden="1">#REF!</definedName>
    <definedName name="_____________________________x24" hidden="1">#REF!</definedName>
    <definedName name="_____________________________x25" localSheetId="0" hidden="1">#REF!</definedName>
    <definedName name="_____________________________x25" hidden="1">#REF!</definedName>
    <definedName name="_____________________________x28" localSheetId="0" hidden="1">#REF!</definedName>
    <definedName name="_____________________________x28" hidden="1">#REF!</definedName>
    <definedName name="_____________________________x29" localSheetId="0" hidden="1">#REF!</definedName>
    <definedName name="_____________________________x29" hidden="1">#REF!</definedName>
    <definedName name="_____________________________x32" localSheetId="0" hidden="1">#REF!</definedName>
    <definedName name="_____________________________x32" hidden="1">#REF!</definedName>
    <definedName name="_____________________________x4" localSheetId="0" hidden="1">#REF!</definedName>
    <definedName name="_____________________________x4" hidden="1">#REF!</definedName>
    <definedName name="_____________________________x5" localSheetId="0" hidden="1">#REF!</definedName>
    <definedName name="_____________________________x5" hidden="1">#REF!</definedName>
    <definedName name="_____________________________x6" localSheetId="0" hidden="1">#REF!</definedName>
    <definedName name="_____________________________x6" hidden="1">#REF!</definedName>
    <definedName name="_____________________________x7" localSheetId="0" hidden="1">#REF!</definedName>
    <definedName name="_____________________________x7" hidden="1">#REF!</definedName>
    <definedName name="_____________________________x8" localSheetId="0" hidden="1">#REF!</definedName>
    <definedName name="_____________________________x8" hidden="1">#REF!</definedName>
    <definedName name="_____________________________x9" localSheetId="0" hidden="1">#REF!</definedName>
    <definedName name="_____________________________x9" hidden="1">#REF!</definedName>
    <definedName name="____________________________INV12">#REF!</definedName>
    <definedName name="____________________________INV13">#REF!</definedName>
    <definedName name="____________________________inv2">#REF!</definedName>
    <definedName name="____________________________la29" localSheetId="27" hidden="1">#REF!</definedName>
    <definedName name="____________________________la29" localSheetId="0" hidden="1">#REF!</definedName>
    <definedName name="____________________________la29" hidden="1">#REF!</definedName>
    <definedName name="____________________________la3" localSheetId="27" hidden="1">#REF!</definedName>
    <definedName name="____________________________la3" localSheetId="0" hidden="1">#REF!</definedName>
    <definedName name="____________________________la3" hidden="1">#REF!</definedName>
    <definedName name="____________________________la31" localSheetId="27" hidden="1">#REF!</definedName>
    <definedName name="____________________________la31" localSheetId="0" hidden="1">#REF!</definedName>
    <definedName name="____________________________la31" hidden="1">#REF!</definedName>
    <definedName name="____________________________la32" localSheetId="0" hidden="1">#REF!</definedName>
    <definedName name="____________________________la32" hidden="1">#REF!</definedName>
    <definedName name="____________________________la4" localSheetId="0" hidden="1">#REF!</definedName>
    <definedName name="____________________________la4" hidden="1">#REF!</definedName>
    <definedName name="____________________________la5" localSheetId="0" hidden="1">#REF!</definedName>
    <definedName name="____________________________la5" hidden="1">#REF!</definedName>
    <definedName name="____________________________la6" localSheetId="0" hidden="1">#REF!</definedName>
    <definedName name="____________________________la6" hidden="1">#REF!</definedName>
    <definedName name="____________________________la7" localSheetId="0" hidden="1">#REF!</definedName>
    <definedName name="____________________________la7" hidden="1">#REF!</definedName>
    <definedName name="____________________________la8" localSheetId="0" hidden="1">#REF!</definedName>
    <definedName name="____________________________la8" hidden="1">#REF!</definedName>
    <definedName name="____________________________la9" localSheetId="0" hidden="1">#REF!</definedName>
    <definedName name="____________________________la9" hidden="1">#REF!</definedName>
    <definedName name="____________________________lb1" localSheetId="0" hidden="1">#REF!</definedName>
    <definedName name="____________________________lb1" hidden="1">#REF!</definedName>
    <definedName name="____________________________lb10" localSheetId="0" hidden="1">#REF!</definedName>
    <definedName name="____________________________lb10" hidden="1">#REF!</definedName>
    <definedName name="____________________________lb11" localSheetId="0" hidden="1">#REF!</definedName>
    <definedName name="____________________________lb11" hidden="1">#REF!</definedName>
    <definedName name="____________________________lb12" localSheetId="0" hidden="1">#REF!</definedName>
    <definedName name="____________________________lb12" hidden="1">#REF!</definedName>
    <definedName name="____________________________lb13" localSheetId="0" hidden="1">#REF!</definedName>
    <definedName name="____________________________lb13" hidden="1">#REF!</definedName>
    <definedName name="____________________________lb14" localSheetId="0" hidden="1">#REF!</definedName>
    <definedName name="____________________________lb14" hidden="1">#REF!</definedName>
    <definedName name="____________________________lb15" localSheetId="0" hidden="1">#REF!</definedName>
    <definedName name="____________________________lb15" hidden="1">#REF!</definedName>
    <definedName name="____________________________lb16" localSheetId="0" hidden="1">#REF!</definedName>
    <definedName name="____________________________lb16" hidden="1">#REF!</definedName>
    <definedName name="____________________________lb17" localSheetId="0" hidden="1">#REF!</definedName>
    <definedName name="____________________________lb17" hidden="1">#REF!</definedName>
    <definedName name="____________________________lb18" localSheetId="0" hidden="1">#REF!</definedName>
    <definedName name="____________________________lb18" hidden="1">#REF!</definedName>
    <definedName name="____________________________lb19" localSheetId="0" hidden="1">#REF!</definedName>
    <definedName name="____________________________lb19" hidden="1">#REF!</definedName>
    <definedName name="____________________________lb2" localSheetId="0" hidden="1">#REF!</definedName>
    <definedName name="____________________________lb2" hidden="1">#REF!</definedName>
    <definedName name="____________________________lb20" localSheetId="0" hidden="1">#REF!</definedName>
    <definedName name="____________________________lb20" hidden="1">#REF!</definedName>
    <definedName name="____________________________lb21" localSheetId="0" hidden="1">#REF!</definedName>
    <definedName name="____________________________lb21" hidden="1">#REF!</definedName>
    <definedName name="____________________________lb22" localSheetId="0" hidden="1">#REF!</definedName>
    <definedName name="____________________________lb22" hidden="1">#REF!</definedName>
    <definedName name="____________________________lb23" localSheetId="0" hidden="1">#REF!</definedName>
    <definedName name="____________________________lb23" hidden="1">#REF!</definedName>
    <definedName name="____________________________lb24" localSheetId="0" hidden="1">#REF!</definedName>
    <definedName name="____________________________lb24" hidden="1">#REF!</definedName>
    <definedName name="____________________________lb25" localSheetId="0" hidden="1">#REF!</definedName>
    <definedName name="____________________________lb25" hidden="1">#REF!</definedName>
    <definedName name="____________________________lb27" localSheetId="0" hidden="1">#REF!</definedName>
    <definedName name="____________________________lb27" hidden="1">#REF!</definedName>
    <definedName name="____________________________lb28" localSheetId="0" hidden="1">#REF!</definedName>
    <definedName name="____________________________lb28" hidden="1">#REF!</definedName>
    <definedName name="____________________________lb29" localSheetId="0" hidden="1">#REF!</definedName>
    <definedName name="____________________________lb29" hidden="1">#REF!</definedName>
    <definedName name="____________________________lb3" localSheetId="0" hidden="1">#REF!</definedName>
    <definedName name="____________________________lb3" hidden="1">#REF!</definedName>
    <definedName name="____________________________lb30" localSheetId="0" hidden="1">#REF!</definedName>
    <definedName name="____________________________lb30" hidden="1">#REF!</definedName>
    <definedName name="____________________________lb31" localSheetId="0" hidden="1">#REF!</definedName>
    <definedName name="____________________________lb31" hidden="1">#REF!</definedName>
    <definedName name="____________________________lb32" localSheetId="0" hidden="1">#REF!</definedName>
    <definedName name="____________________________lb32" hidden="1">#REF!</definedName>
    <definedName name="____________________________lb4" localSheetId="0" hidden="1">#REF!</definedName>
    <definedName name="____________________________lb4" hidden="1">#REF!</definedName>
    <definedName name="____________________________lb5" localSheetId="0" hidden="1">#REF!</definedName>
    <definedName name="____________________________lb5" hidden="1">#REF!</definedName>
    <definedName name="____________________________lb6" localSheetId="0" hidden="1">#REF!</definedName>
    <definedName name="____________________________lb6" hidden="1">#REF!</definedName>
    <definedName name="____________________________lb7" localSheetId="0" hidden="1">#REF!</definedName>
    <definedName name="____________________________lb7" hidden="1">#REF!</definedName>
    <definedName name="____________________________lb8" localSheetId="0" hidden="1">#REF!</definedName>
    <definedName name="____________________________lb8" hidden="1">#REF!</definedName>
    <definedName name="____________________________lb9" localSheetId="0" hidden="1">#REF!</definedName>
    <definedName name="____________________________lb9" hidden="1">#REF!</definedName>
    <definedName name="____________________________lbc1" localSheetId="0" hidden="1">#REF!</definedName>
    <definedName name="____________________________lbc1" hidden="1">#REF!</definedName>
    <definedName name="____________________________lbc10" localSheetId="0" hidden="1">#REF!</definedName>
    <definedName name="____________________________lbc10" hidden="1">#REF!</definedName>
    <definedName name="____________________________lbc11" localSheetId="0" hidden="1">#REF!</definedName>
    <definedName name="____________________________lbc11" hidden="1">#REF!</definedName>
    <definedName name="____________________________lbc12" localSheetId="0" hidden="1">#REF!</definedName>
    <definedName name="____________________________lbc12" hidden="1">#REF!</definedName>
    <definedName name="____________________________lbc13" localSheetId="0" hidden="1">#REF!</definedName>
    <definedName name="____________________________lbc13" hidden="1">#REF!</definedName>
    <definedName name="____________________________lbc14" localSheetId="0" hidden="1">#REF!</definedName>
    <definedName name="____________________________lbc14" hidden="1">#REF!</definedName>
    <definedName name="____________________________lbc15" localSheetId="0" hidden="1">#REF!</definedName>
    <definedName name="____________________________lbc15" hidden="1">#REF!</definedName>
    <definedName name="____________________________lbc16" localSheetId="0" hidden="1">#REF!</definedName>
    <definedName name="____________________________lbc16" hidden="1">#REF!</definedName>
    <definedName name="____________________________lbc17" localSheetId="0" hidden="1">#REF!</definedName>
    <definedName name="____________________________lbc17" hidden="1">#REF!</definedName>
    <definedName name="____________________________lbc18" localSheetId="0" hidden="1">#REF!</definedName>
    <definedName name="____________________________lbc18" hidden="1">#REF!</definedName>
    <definedName name="____________________________lbc19" localSheetId="0" hidden="1">#REF!</definedName>
    <definedName name="____________________________lbc19" hidden="1">#REF!</definedName>
    <definedName name="____________________________lbc2" localSheetId="0" hidden="1">#REF!</definedName>
    <definedName name="____________________________lbc2" hidden="1">#REF!</definedName>
    <definedName name="____________________________lbc20" localSheetId="0" hidden="1">#REF!</definedName>
    <definedName name="____________________________lbc20" hidden="1">#REF!</definedName>
    <definedName name="____________________________lbc21" localSheetId="0" hidden="1">#REF!</definedName>
    <definedName name="____________________________lbc21" hidden="1">#REF!</definedName>
    <definedName name="____________________________lbc22" localSheetId="0" hidden="1">#REF!</definedName>
    <definedName name="____________________________lbc22" hidden="1">#REF!</definedName>
    <definedName name="____________________________lbc23" localSheetId="0" hidden="1">#REF!</definedName>
    <definedName name="____________________________lbc23" hidden="1">#REF!</definedName>
    <definedName name="____________________________lbc24" localSheetId="0" hidden="1">#REF!</definedName>
    <definedName name="____________________________lbc24" hidden="1">#REF!</definedName>
    <definedName name="____________________________lbc25" localSheetId="0" hidden="1">#REF!</definedName>
    <definedName name="____________________________lbc25" hidden="1">#REF!</definedName>
    <definedName name="____________________________lbc26" localSheetId="0" hidden="1">#REF!</definedName>
    <definedName name="____________________________lbc26" hidden="1">#REF!</definedName>
    <definedName name="____________________________lbc27" localSheetId="0" hidden="1">#REF!</definedName>
    <definedName name="____________________________lbc27" hidden="1">#REF!</definedName>
    <definedName name="____________________________lbc28" localSheetId="0" hidden="1">#REF!</definedName>
    <definedName name="____________________________lbc28" hidden="1">#REF!</definedName>
    <definedName name="____________________________lbc29" localSheetId="0" hidden="1">#REF!</definedName>
    <definedName name="____________________________lbc29" hidden="1">#REF!</definedName>
    <definedName name="____________________________lbc3" localSheetId="0" hidden="1">#REF!</definedName>
    <definedName name="____________________________lbc3" hidden="1">#REF!</definedName>
    <definedName name="____________________________lbc31" localSheetId="0" hidden="1">#REF!</definedName>
    <definedName name="____________________________lbc31" hidden="1">#REF!</definedName>
    <definedName name="____________________________lbc32" localSheetId="0" hidden="1">#REF!</definedName>
    <definedName name="____________________________lbc32" hidden="1">#REF!</definedName>
    <definedName name="____________________________lbc4" localSheetId="0" hidden="1">#REF!</definedName>
    <definedName name="____________________________lbc4" hidden="1">#REF!</definedName>
    <definedName name="____________________________lbc5" localSheetId="0" hidden="1">#REF!</definedName>
    <definedName name="____________________________lbc5" hidden="1">#REF!</definedName>
    <definedName name="____________________________lbc6" localSheetId="0" hidden="1">#REF!</definedName>
    <definedName name="____________________________lbc6" hidden="1">#REF!</definedName>
    <definedName name="____________________________lbc7" localSheetId="0" hidden="1">#REF!</definedName>
    <definedName name="____________________________lbc7" hidden="1">#REF!</definedName>
    <definedName name="____________________________lbc8" localSheetId="0" hidden="1">#REF!</definedName>
    <definedName name="____________________________lbc8" hidden="1">#REF!</definedName>
    <definedName name="____________________________lbc9" localSheetId="0" hidden="1">#REF!</definedName>
    <definedName name="____________________________lbc9" hidden="1">#REF!</definedName>
    <definedName name="____________________________ld26" localSheetId="0" hidden="1">#REF!</definedName>
    <definedName name="____________________________ld26" hidden="1">#REF!</definedName>
    <definedName name="____________________________ld31" localSheetId="0" hidden="1">#REF!</definedName>
    <definedName name="____________________________ld31" hidden="1">#REF!</definedName>
    <definedName name="____________________________le31" localSheetId="0" hidden="1">#REF!</definedName>
    <definedName name="____________________________le31" hidden="1">#REF!</definedName>
    <definedName name="____________________________lf31" localSheetId="0" hidden="1">#REF!</definedName>
    <definedName name="____________________________lf31" hidden="1">#REF!</definedName>
    <definedName name="____________________________x10" localSheetId="0" hidden="1">#REF!</definedName>
    <definedName name="____________________________x10" hidden="1">#REF!</definedName>
    <definedName name="____________________________x11" localSheetId="0" hidden="1">#REF!</definedName>
    <definedName name="____________________________x11" hidden="1">#REF!</definedName>
    <definedName name="____________________________x12" localSheetId="0" hidden="1">#REF!</definedName>
    <definedName name="____________________________x12" hidden="1">#REF!</definedName>
    <definedName name="____________________________x13" localSheetId="0" hidden="1">#REF!</definedName>
    <definedName name="____________________________x13" hidden="1">#REF!</definedName>
    <definedName name="____________________________x14" localSheetId="0" hidden="1">#REF!</definedName>
    <definedName name="____________________________x14" hidden="1">#REF!</definedName>
    <definedName name="____________________________x15" localSheetId="0" hidden="1">#REF!</definedName>
    <definedName name="____________________________x15" hidden="1">#REF!</definedName>
    <definedName name="____________________________x16" localSheetId="0" hidden="1">#REF!</definedName>
    <definedName name="____________________________x16" hidden="1">#REF!</definedName>
    <definedName name="____________________________x17" localSheetId="0" hidden="1">#REF!</definedName>
    <definedName name="____________________________x17" hidden="1">#REF!</definedName>
    <definedName name="____________________________x18" localSheetId="0" hidden="1">#REF!</definedName>
    <definedName name="____________________________x18" hidden="1">#REF!</definedName>
    <definedName name="____________________________x19" localSheetId="0" hidden="1">#REF!</definedName>
    <definedName name="____________________________x19" hidden="1">#REF!</definedName>
    <definedName name="____________________________x20" localSheetId="0" hidden="1">#REF!</definedName>
    <definedName name="____________________________x20" hidden="1">#REF!</definedName>
    <definedName name="____________________________x21" localSheetId="0" hidden="1">#REF!</definedName>
    <definedName name="____________________________x21" hidden="1">#REF!</definedName>
    <definedName name="____________________________x22" localSheetId="0" hidden="1">#REF!</definedName>
    <definedName name="____________________________x22" hidden="1">#REF!</definedName>
    <definedName name="____________________________x23" localSheetId="0" hidden="1">#REF!</definedName>
    <definedName name="____________________________x23" hidden="1">#REF!</definedName>
    <definedName name="____________________________x24" localSheetId="0" hidden="1">#REF!</definedName>
    <definedName name="____________________________x24" hidden="1">#REF!</definedName>
    <definedName name="____________________________x25" localSheetId="0" hidden="1">#REF!</definedName>
    <definedName name="____________________________x25" hidden="1">#REF!</definedName>
    <definedName name="____________________________x28" localSheetId="0" hidden="1">#REF!</definedName>
    <definedName name="____________________________x28" hidden="1">#REF!</definedName>
    <definedName name="____________________________x29" localSheetId="0" hidden="1">#REF!</definedName>
    <definedName name="____________________________x29" hidden="1">#REF!</definedName>
    <definedName name="____________________________x32" localSheetId="0" hidden="1">#REF!</definedName>
    <definedName name="____________________________x32" hidden="1">#REF!</definedName>
    <definedName name="____________________________x4" localSheetId="0" hidden="1">#REF!</definedName>
    <definedName name="____________________________x4" hidden="1">#REF!</definedName>
    <definedName name="____________________________x5" localSheetId="0" hidden="1">#REF!</definedName>
    <definedName name="____________________________x5" hidden="1">#REF!</definedName>
    <definedName name="____________________________x6" localSheetId="0" hidden="1">#REF!</definedName>
    <definedName name="____________________________x6" hidden="1">#REF!</definedName>
    <definedName name="____________________________x7" localSheetId="0" hidden="1">#REF!</definedName>
    <definedName name="____________________________x7" hidden="1">#REF!</definedName>
    <definedName name="____________________________x8" localSheetId="0" hidden="1">#REF!</definedName>
    <definedName name="____________________________x8" hidden="1">#REF!</definedName>
    <definedName name="____________________________x9" localSheetId="0" hidden="1">#REF!</definedName>
    <definedName name="____________________________x9" hidden="1">#REF!</definedName>
    <definedName name="___________________________INV12">#REF!</definedName>
    <definedName name="___________________________INV13">#REF!</definedName>
    <definedName name="___________________________inv2">#REF!</definedName>
    <definedName name="___________________________la29" localSheetId="27" hidden="1">#REF!</definedName>
    <definedName name="___________________________la29" localSheetId="0" hidden="1">#REF!</definedName>
    <definedName name="___________________________la29" hidden="1">#REF!</definedName>
    <definedName name="___________________________la3" localSheetId="27" hidden="1">#REF!</definedName>
    <definedName name="___________________________la3" localSheetId="0" hidden="1">#REF!</definedName>
    <definedName name="___________________________la3" hidden="1">#REF!</definedName>
    <definedName name="___________________________la31" localSheetId="27" hidden="1">#REF!</definedName>
    <definedName name="___________________________la31" localSheetId="0" hidden="1">#REF!</definedName>
    <definedName name="___________________________la31" hidden="1">#REF!</definedName>
    <definedName name="___________________________la32" localSheetId="0" hidden="1">#REF!</definedName>
    <definedName name="___________________________la32" hidden="1">#REF!</definedName>
    <definedName name="___________________________la4" localSheetId="0" hidden="1">#REF!</definedName>
    <definedName name="___________________________la4" hidden="1">#REF!</definedName>
    <definedName name="___________________________la5" localSheetId="0" hidden="1">#REF!</definedName>
    <definedName name="___________________________la5" hidden="1">#REF!</definedName>
    <definedName name="___________________________la6" localSheetId="0" hidden="1">#REF!</definedName>
    <definedName name="___________________________la6" hidden="1">#REF!</definedName>
    <definedName name="___________________________la7" localSheetId="0" hidden="1">#REF!</definedName>
    <definedName name="___________________________la7" hidden="1">#REF!</definedName>
    <definedName name="___________________________la8" localSheetId="0" hidden="1">#REF!</definedName>
    <definedName name="___________________________la8" hidden="1">#REF!</definedName>
    <definedName name="___________________________la9" localSheetId="0" hidden="1">#REF!</definedName>
    <definedName name="___________________________la9" hidden="1">#REF!</definedName>
    <definedName name="___________________________lb1" localSheetId="0" hidden="1">#REF!</definedName>
    <definedName name="___________________________lb1" hidden="1">#REF!</definedName>
    <definedName name="___________________________lb10" localSheetId="0" hidden="1">#REF!</definedName>
    <definedName name="___________________________lb10" hidden="1">#REF!</definedName>
    <definedName name="___________________________lb11" localSheetId="0" hidden="1">#REF!</definedName>
    <definedName name="___________________________lb11" hidden="1">#REF!</definedName>
    <definedName name="___________________________lb12" localSheetId="0" hidden="1">#REF!</definedName>
    <definedName name="___________________________lb12" hidden="1">#REF!</definedName>
    <definedName name="___________________________lb13" localSheetId="0" hidden="1">#REF!</definedName>
    <definedName name="___________________________lb13" hidden="1">#REF!</definedName>
    <definedName name="___________________________lb14" localSheetId="0" hidden="1">#REF!</definedName>
    <definedName name="___________________________lb14" hidden="1">#REF!</definedName>
    <definedName name="___________________________lb15" localSheetId="0" hidden="1">#REF!</definedName>
    <definedName name="___________________________lb15" hidden="1">#REF!</definedName>
    <definedName name="___________________________lb16" localSheetId="0" hidden="1">#REF!</definedName>
    <definedName name="___________________________lb16" hidden="1">#REF!</definedName>
    <definedName name="___________________________lb17" localSheetId="0" hidden="1">#REF!</definedName>
    <definedName name="___________________________lb17" hidden="1">#REF!</definedName>
    <definedName name="___________________________lb18" localSheetId="0" hidden="1">#REF!</definedName>
    <definedName name="___________________________lb18" hidden="1">#REF!</definedName>
    <definedName name="___________________________lb19" localSheetId="0" hidden="1">#REF!</definedName>
    <definedName name="___________________________lb19" hidden="1">#REF!</definedName>
    <definedName name="___________________________lb2" localSheetId="0" hidden="1">#REF!</definedName>
    <definedName name="___________________________lb2" hidden="1">#REF!</definedName>
    <definedName name="___________________________lb20" localSheetId="0" hidden="1">#REF!</definedName>
    <definedName name="___________________________lb20" hidden="1">#REF!</definedName>
    <definedName name="___________________________lb21" localSheetId="0" hidden="1">#REF!</definedName>
    <definedName name="___________________________lb21" hidden="1">#REF!</definedName>
    <definedName name="___________________________lb22" localSheetId="0" hidden="1">#REF!</definedName>
    <definedName name="___________________________lb22" hidden="1">#REF!</definedName>
    <definedName name="___________________________lb23" localSheetId="0" hidden="1">#REF!</definedName>
    <definedName name="___________________________lb23" hidden="1">#REF!</definedName>
    <definedName name="___________________________lb24" localSheetId="0" hidden="1">#REF!</definedName>
    <definedName name="___________________________lb24" hidden="1">#REF!</definedName>
    <definedName name="___________________________lb25" localSheetId="0" hidden="1">#REF!</definedName>
    <definedName name="___________________________lb25" hidden="1">#REF!</definedName>
    <definedName name="___________________________lb27" localSheetId="0" hidden="1">#REF!</definedName>
    <definedName name="___________________________lb27" hidden="1">#REF!</definedName>
    <definedName name="___________________________lb28" localSheetId="0" hidden="1">#REF!</definedName>
    <definedName name="___________________________lb28" hidden="1">#REF!</definedName>
    <definedName name="___________________________lb29" localSheetId="0" hidden="1">#REF!</definedName>
    <definedName name="___________________________lb29" hidden="1">#REF!</definedName>
    <definedName name="___________________________lb3" localSheetId="0" hidden="1">#REF!</definedName>
    <definedName name="___________________________lb3" hidden="1">#REF!</definedName>
    <definedName name="___________________________lb30" localSheetId="0" hidden="1">#REF!</definedName>
    <definedName name="___________________________lb30" hidden="1">#REF!</definedName>
    <definedName name="___________________________lb31" localSheetId="0" hidden="1">#REF!</definedName>
    <definedName name="___________________________lb31" hidden="1">#REF!</definedName>
    <definedName name="___________________________lb32" localSheetId="0" hidden="1">#REF!</definedName>
    <definedName name="___________________________lb32" hidden="1">#REF!</definedName>
    <definedName name="___________________________lb4" localSheetId="0" hidden="1">#REF!</definedName>
    <definedName name="___________________________lb4" hidden="1">#REF!</definedName>
    <definedName name="___________________________lb5" localSheetId="0" hidden="1">#REF!</definedName>
    <definedName name="___________________________lb5" hidden="1">#REF!</definedName>
    <definedName name="___________________________lb6" localSheetId="0" hidden="1">#REF!</definedName>
    <definedName name="___________________________lb6" hidden="1">#REF!</definedName>
    <definedName name="___________________________lb7" localSheetId="0" hidden="1">#REF!</definedName>
    <definedName name="___________________________lb7" hidden="1">#REF!</definedName>
    <definedName name="___________________________lb8" localSheetId="0" hidden="1">#REF!</definedName>
    <definedName name="___________________________lb8" hidden="1">#REF!</definedName>
    <definedName name="___________________________lb9" localSheetId="0" hidden="1">#REF!</definedName>
    <definedName name="___________________________lb9" hidden="1">#REF!</definedName>
    <definedName name="___________________________lbc1" localSheetId="0" hidden="1">#REF!</definedName>
    <definedName name="___________________________lbc1" hidden="1">#REF!</definedName>
    <definedName name="___________________________lbc10" localSheetId="0" hidden="1">#REF!</definedName>
    <definedName name="___________________________lbc10" hidden="1">#REF!</definedName>
    <definedName name="___________________________lbc11" localSheetId="0" hidden="1">#REF!</definedName>
    <definedName name="___________________________lbc11" hidden="1">#REF!</definedName>
    <definedName name="___________________________lbc12" localSheetId="0" hidden="1">#REF!</definedName>
    <definedName name="___________________________lbc12" hidden="1">#REF!</definedName>
    <definedName name="___________________________lbc13" localSheetId="0" hidden="1">#REF!</definedName>
    <definedName name="___________________________lbc13" hidden="1">#REF!</definedName>
    <definedName name="___________________________lbc14" localSheetId="0" hidden="1">#REF!</definedName>
    <definedName name="___________________________lbc14" hidden="1">#REF!</definedName>
    <definedName name="___________________________lbc15" localSheetId="0" hidden="1">#REF!</definedName>
    <definedName name="___________________________lbc15" hidden="1">#REF!</definedName>
    <definedName name="___________________________lbc16" localSheetId="0" hidden="1">#REF!</definedName>
    <definedName name="___________________________lbc16" hidden="1">#REF!</definedName>
    <definedName name="___________________________lbc17" localSheetId="0" hidden="1">#REF!</definedName>
    <definedName name="___________________________lbc17" hidden="1">#REF!</definedName>
    <definedName name="___________________________lbc18" localSheetId="0" hidden="1">#REF!</definedName>
    <definedName name="___________________________lbc18" hidden="1">#REF!</definedName>
    <definedName name="___________________________lbc19" localSheetId="0" hidden="1">#REF!</definedName>
    <definedName name="___________________________lbc19" hidden="1">#REF!</definedName>
    <definedName name="___________________________lbc2" localSheetId="0" hidden="1">#REF!</definedName>
    <definedName name="___________________________lbc2" hidden="1">#REF!</definedName>
    <definedName name="___________________________lbc20" localSheetId="0" hidden="1">#REF!</definedName>
    <definedName name="___________________________lbc20" hidden="1">#REF!</definedName>
    <definedName name="___________________________lbc21" localSheetId="0" hidden="1">#REF!</definedName>
    <definedName name="___________________________lbc21" hidden="1">#REF!</definedName>
    <definedName name="___________________________lbc22" localSheetId="0" hidden="1">#REF!</definedName>
    <definedName name="___________________________lbc22" hidden="1">#REF!</definedName>
    <definedName name="___________________________lbc23" localSheetId="0" hidden="1">#REF!</definedName>
    <definedName name="___________________________lbc23" hidden="1">#REF!</definedName>
    <definedName name="___________________________lbc24" localSheetId="0" hidden="1">#REF!</definedName>
    <definedName name="___________________________lbc24" hidden="1">#REF!</definedName>
    <definedName name="___________________________lbc25" localSheetId="0" hidden="1">#REF!</definedName>
    <definedName name="___________________________lbc25" hidden="1">#REF!</definedName>
    <definedName name="___________________________lbc26" localSheetId="0" hidden="1">#REF!</definedName>
    <definedName name="___________________________lbc26" hidden="1">#REF!</definedName>
    <definedName name="___________________________lbc27" localSheetId="0" hidden="1">#REF!</definedName>
    <definedName name="___________________________lbc27" hidden="1">#REF!</definedName>
    <definedName name="___________________________lbc28" localSheetId="0" hidden="1">#REF!</definedName>
    <definedName name="___________________________lbc28" hidden="1">#REF!</definedName>
    <definedName name="___________________________lbc29" localSheetId="0" hidden="1">#REF!</definedName>
    <definedName name="___________________________lbc29" hidden="1">#REF!</definedName>
    <definedName name="___________________________lbc3" localSheetId="0" hidden="1">#REF!</definedName>
    <definedName name="___________________________lbc3" hidden="1">#REF!</definedName>
    <definedName name="___________________________lbc31" localSheetId="0" hidden="1">#REF!</definedName>
    <definedName name="___________________________lbc31" hidden="1">#REF!</definedName>
    <definedName name="___________________________lbc32" localSheetId="0" hidden="1">#REF!</definedName>
    <definedName name="___________________________lbc32" hidden="1">#REF!</definedName>
    <definedName name="___________________________lbc4" localSheetId="0" hidden="1">#REF!</definedName>
    <definedName name="___________________________lbc4" hidden="1">#REF!</definedName>
    <definedName name="___________________________lbc5" localSheetId="0" hidden="1">#REF!</definedName>
    <definedName name="___________________________lbc5" hidden="1">#REF!</definedName>
    <definedName name="___________________________lbc6" localSheetId="0" hidden="1">#REF!</definedName>
    <definedName name="___________________________lbc6" hidden="1">#REF!</definedName>
    <definedName name="___________________________lbc7" localSheetId="0" hidden="1">#REF!</definedName>
    <definedName name="___________________________lbc7" hidden="1">#REF!</definedName>
    <definedName name="___________________________lbc8" localSheetId="0" hidden="1">#REF!</definedName>
    <definedName name="___________________________lbc8" hidden="1">#REF!</definedName>
    <definedName name="___________________________lbc9" localSheetId="0" hidden="1">#REF!</definedName>
    <definedName name="___________________________lbc9" hidden="1">#REF!</definedName>
    <definedName name="___________________________ld26" localSheetId="0" hidden="1">#REF!</definedName>
    <definedName name="___________________________ld26" hidden="1">#REF!</definedName>
    <definedName name="___________________________ld31" localSheetId="0" hidden="1">#REF!</definedName>
    <definedName name="___________________________ld31" hidden="1">#REF!</definedName>
    <definedName name="___________________________le31" localSheetId="0" hidden="1">#REF!</definedName>
    <definedName name="___________________________le31" hidden="1">#REF!</definedName>
    <definedName name="___________________________lf31" localSheetId="0" hidden="1">#REF!</definedName>
    <definedName name="___________________________lf31" hidden="1">#REF!</definedName>
    <definedName name="___________________________x10" localSheetId="0" hidden="1">#REF!</definedName>
    <definedName name="___________________________x10" hidden="1">#REF!</definedName>
    <definedName name="___________________________x11" localSheetId="0" hidden="1">#REF!</definedName>
    <definedName name="___________________________x11" hidden="1">#REF!</definedName>
    <definedName name="___________________________x12" localSheetId="0" hidden="1">#REF!</definedName>
    <definedName name="___________________________x12" hidden="1">#REF!</definedName>
    <definedName name="___________________________x13" localSheetId="0" hidden="1">#REF!</definedName>
    <definedName name="___________________________x13" hidden="1">#REF!</definedName>
    <definedName name="___________________________x14" localSheetId="0" hidden="1">#REF!</definedName>
    <definedName name="___________________________x14" hidden="1">#REF!</definedName>
    <definedName name="___________________________x15" localSheetId="0" hidden="1">#REF!</definedName>
    <definedName name="___________________________x15" hidden="1">#REF!</definedName>
    <definedName name="___________________________x16" localSheetId="0" hidden="1">#REF!</definedName>
    <definedName name="___________________________x16" hidden="1">#REF!</definedName>
    <definedName name="___________________________x17" localSheetId="0" hidden="1">#REF!</definedName>
    <definedName name="___________________________x17" hidden="1">#REF!</definedName>
    <definedName name="___________________________x18" localSheetId="0" hidden="1">#REF!</definedName>
    <definedName name="___________________________x18" hidden="1">#REF!</definedName>
    <definedName name="___________________________x19" localSheetId="0" hidden="1">#REF!</definedName>
    <definedName name="___________________________x19" hidden="1">#REF!</definedName>
    <definedName name="___________________________x20" localSheetId="0" hidden="1">#REF!</definedName>
    <definedName name="___________________________x20" hidden="1">#REF!</definedName>
    <definedName name="___________________________x21" localSheetId="0" hidden="1">#REF!</definedName>
    <definedName name="___________________________x21" hidden="1">#REF!</definedName>
    <definedName name="___________________________x22" localSheetId="0" hidden="1">#REF!</definedName>
    <definedName name="___________________________x22" hidden="1">#REF!</definedName>
    <definedName name="___________________________x23" localSheetId="0" hidden="1">#REF!</definedName>
    <definedName name="___________________________x23" hidden="1">#REF!</definedName>
    <definedName name="___________________________x24" localSheetId="0" hidden="1">#REF!</definedName>
    <definedName name="___________________________x24" hidden="1">#REF!</definedName>
    <definedName name="___________________________x25" localSheetId="0" hidden="1">#REF!</definedName>
    <definedName name="___________________________x25" hidden="1">#REF!</definedName>
    <definedName name="___________________________x28" localSheetId="0" hidden="1">#REF!</definedName>
    <definedName name="___________________________x28" hidden="1">#REF!</definedName>
    <definedName name="___________________________x29" localSheetId="0" hidden="1">#REF!</definedName>
    <definedName name="___________________________x29" hidden="1">#REF!</definedName>
    <definedName name="___________________________x32" localSheetId="0" hidden="1">#REF!</definedName>
    <definedName name="___________________________x32" hidden="1">#REF!</definedName>
    <definedName name="___________________________x4" localSheetId="0" hidden="1">#REF!</definedName>
    <definedName name="___________________________x4" hidden="1">#REF!</definedName>
    <definedName name="___________________________x5" localSheetId="0" hidden="1">#REF!</definedName>
    <definedName name="___________________________x5" hidden="1">#REF!</definedName>
    <definedName name="___________________________x6" localSheetId="0" hidden="1">#REF!</definedName>
    <definedName name="___________________________x6" hidden="1">#REF!</definedName>
    <definedName name="___________________________x7" localSheetId="0" hidden="1">#REF!</definedName>
    <definedName name="___________________________x7" hidden="1">#REF!</definedName>
    <definedName name="___________________________x8" localSheetId="0" hidden="1">#REF!</definedName>
    <definedName name="___________________________x8" hidden="1">#REF!</definedName>
    <definedName name="___________________________x9" localSheetId="0" hidden="1">#REF!</definedName>
    <definedName name="___________________________x9" hidden="1">#REF!</definedName>
    <definedName name="__________________________INV12">#REF!</definedName>
    <definedName name="__________________________INV13">#REF!</definedName>
    <definedName name="__________________________inv2">#REF!</definedName>
    <definedName name="__________________________la29" localSheetId="27" hidden="1">#REF!</definedName>
    <definedName name="__________________________la29" localSheetId="0" hidden="1">#REF!</definedName>
    <definedName name="__________________________la29" hidden="1">#REF!</definedName>
    <definedName name="__________________________la3" localSheetId="27" hidden="1">#REF!</definedName>
    <definedName name="__________________________la3" localSheetId="0" hidden="1">#REF!</definedName>
    <definedName name="__________________________la3" hidden="1">#REF!</definedName>
    <definedName name="__________________________la31" localSheetId="27" hidden="1">#REF!</definedName>
    <definedName name="__________________________la31" localSheetId="0" hidden="1">#REF!</definedName>
    <definedName name="__________________________la31" hidden="1">#REF!</definedName>
    <definedName name="__________________________la32" localSheetId="0" hidden="1">#REF!</definedName>
    <definedName name="__________________________la32" hidden="1">#REF!</definedName>
    <definedName name="__________________________la4" localSheetId="0" hidden="1">#REF!</definedName>
    <definedName name="__________________________la4" hidden="1">#REF!</definedName>
    <definedName name="__________________________la5" localSheetId="0" hidden="1">#REF!</definedName>
    <definedName name="__________________________la5" hidden="1">#REF!</definedName>
    <definedName name="__________________________la6" localSheetId="0" hidden="1">#REF!</definedName>
    <definedName name="__________________________la6" hidden="1">#REF!</definedName>
    <definedName name="__________________________la7" localSheetId="0" hidden="1">#REF!</definedName>
    <definedName name="__________________________la7" hidden="1">#REF!</definedName>
    <definedName name="__________________________la8" localSheetId="0" hidden="1">#REF!</definedName>
    <definedName name="__________________________la8" hidden="1">#REF!</definedName>
    <definedName name="__________________________la9" localSheetId="0" hidden="1">#REF!</definedName>
    <definedName name="__________________________la9" hidden="1">#REF!</definedName>
    <definedName name="__________________________lb1" localSheetId="0" hidden="1">#REF!</definedName>
    <definedName name="__________________________lb1" hidden="1">#REF!</definedName>
    <definedName name="__________________________lb10" localSheetId="0" hidden="1">#REF!</definedName>
    <definedName name="__________________________lb10" hidden="1">#REF!</definedName>
    <definedName name="__________________________lb11" localSheetId="0" hidden="1">#REF!</definedName>
    <definedName name="__________________________lb11" hidden="1">#REF!</definedName>
    <definedName name="__________________________lb12" localSheetId="0" hidden="1">#REF!</definedName>
    <definedName name="__________________________lb12" hidden="1">#REF!</definedName>
    <definedName name="__________________________lb13" localSheetId="0" hidden="1">#REF!</definedName>
    <definedName name="__________________________lb13" hidden="1">#REF!</definedName>
    <definedName name="__________________________lb14" localSheetId="0" hidden="1">#REF!</definedName>
    <definedName name="__________________________lb14" hidden="1">#REF!</definedName>
    <definedName name="__________________________lb15" localSheetId="0" hidden="1">#REF!</definedName>
    <definedName name="__________________________lb15" hidden="1">#REF!</definedName>
    <definedName name="__________________________lb16" localSheetId="0" hidden="1">#REF!</definedName>
    <definedName name="__________________________lb16" hidden="1">#REF!</definedName>
    <definedName name="__________________________lb17" localSheetId="0" hidden="1">#REF!</definedName>
    <definedName name="__________________________lb17" hidden="1">#REF!</definedName>
    <definedName name="__________________________lb18" localSheetId="0" hidden="1">#REF!</definedName>
    <definedName name="__________________________lb18" hidden="1">#REF!</definedName>
    <definedName name="__________________________lb19" localSheetId="0" hidden="1">#REF!</definedName>
    <definedName name="__________________________lb19" hidden="1">#REF!</definedName>
    <definedName name="__________________________lb2" localSheetId="0" hidden="1">#REF!</definedName>
    <definedName name="__________________________lb2" hidden="1">#REF!</definedName>
    <definedName name="__________________________lb20" localSheetId="0" hidden="1">#REF!</definedName>
    <definedName name="__________________________lb20" hidden="1">#REF!</definedName>
    <definedName name="__________________________lb21" localSheetId="0" hidden="1">#REF!</definedName>
    <definedName name="__________________________lb21" hidden="1">#REF!</definedName>
    <definedName name="__________________________lb22" localSheetId="0" hidden="1">#REF!</definedName>
    <definedName name="__________________________lb22" hidden="1">#REF!</definedName>
    <definedName name="__________________________lb23" localSheetId="0" hidden="1">#REF!</definedName>
    <definedName name="__________________________lb23" hidden="1">#REF!</definedName>
    <definedName name="__________________________lb24" localSheetId="0" hidden="1">#REF!</definedName>
    <definedName name="__________________________lb24" hidden="1">#REF!</definedName>
    <definedName name="__________________________lb25" localSheetId="0" hidden="1">#REF!</definedName>
    <definedName name="__________________________lb25" hidden="1">#REF!</definedName>
    <definedName name="__________________________lb27" localSheetId="0" hidden="1">#REF!</definedName>
    <definedName name="__________________________lb27" hidden="1">#REF!</definedName>
    <definedName name="__________________________lb28" localSheetId="0" hidden="1">#REF!</definedName>
    <definedName name="__________________________lb28" hidden="1">#REF!</definedName>
    <definedName name="__________________________lb29" localSheetId="0" hidden="1">#REF!</definedName>
    <definedName name="__________________________lb29" hidden="1">#REF!</definedName>
    <definedName name="__________________________lb3" localSheetId="0" hidden="1">#REF!</definedName>
    <definedName name="__________________________lb3" hidden="1">#REF!</definedName>
    <definedName name="__________________________lb30" localSheetId="0" hidden="1">#REF!</definedName>
    <definedName name="__________________________lb30" hidden="1">#REF!</definedName>
    <definedName name="__________________________lb31" localSheetId="0" hidden="1">#REF!</definedName>
    <definedName name="__________________________lb31" hidden="1">#REF!</definedName>
    <definedName name="__________________________lb32" localSheetId="0" hidden="1">#REF!</definedName>
    <definedName name="__________________________lb32" hidden="1">#REF!</definedName>
    <definedName name="__________________________lb4" localSheetId="0" hidden="1">#REF!</definedName>
    <definedName name="__________________________lb4" hidden="1">#REF!</definedName>
    <definedName name="__________________________lb5" localSheetId="0" hidden="1">#REF!</definedName>
    <definedName name="__________________________lb5" hidden="1">#REF!</definedName>
    <definedName name="__________________________lb6" localSheetId="0" hidden="1">#REF!</definedName>
    <definedName name="__________________________lb6" hidden="1">#REF!</definedName>
    <definedName name="__________________________lb7" localSheetId="0" hidden="1">#REF!</definedName>
    <definedName name="__________________________lb7" hidden="1">#REF!</definedName>
    <definedName name="__________________________lb8" localSheetId="0" hidden="1">#REF!</definedName>
    <definedName name="__________________________lb8" hidden="1">#REF!</definedName>
    <definedName name="__________________________lb9" localSheetId="0" hidden="1">#REF!</definedName>
    <definedName name="__________________________lb9" hidden="1">#REF!</definedName>
    <definedName name="__________________________lbc1" localSheetId="0" hidden="1">#REF!</definedName>
    <definedName name="__________________________lbc1" hidden="1">#REF!</definedName>
    <definedName name="__________________________lbc10" localSheetId="0" hidden="1">#REF!</definedName>
    <definedName name="__________________________lbc10" hidden="1">#REF!</definedName>
    <definedName name="__________________________lbc11" localSheetId="0" hidden="1">#REF!</definedName>
    <definedName name="__________________________lbc11" hidden="1">#REF!</definedName>
    <definedName name="__________________________lbc12" localSheetId="0" hidden="1">#REF!</definedName>
    <definedName name="__________________________lbc12" hidden="1">#REF!</definedName>
    <definedName name="__________________________lbc13" localSheetId="0" hidden="1">#REF!</definedName>
    <definedName name="__________________________lbc13" hidden="1">#REF!</definedName>
    <definedName name="__________________________lbc14" localSheetId="0" hidden="1">#REF!</definedName>
    <definedName name="__________________________lbc14" hidden="1">#REF!</definedName>
    <definedName name="__________________________lbc15" localSheetId="0" hidden="1">#REF!</definedName>
    <definedName name="__________________________lbc15" hidden="1">#REF!</definedName>
    <definedName name="__________________________lbc16" localSheetId="0" hidden="1">#REF!</definedName>
    <definedName name="__________________________lbc16" hidden="1">#REF!</definedName>
    <definedName name="__________________________lbc17" localSheetId="0" hidden="1">#REF!</definedName>
    <definedName name="__________________________lbc17" hidden="1">#REF!</definedName>
    <definedName name="__________________________lbc18" localSheetId="0" hidden="1">#REF!</definedName>
    <definedName name="__________________________lbc18" hidden="1">#REF!</definedName>
    <definedName name="__________________________lbc19" localSheetId="0" hidden="1">#REF!</definedName>
    <definedName name="__________________________lbc19" hidden="1">#REF!</definedName>
    <definedName name="__________________________lbc2" localSheetId="0" hidden="1">#REF!</definedName>
    <definedName name="__________________________lbc2" hidden="1">#REF!</definedName>
    <definedName name="__________________________lbc20" localSheetId="0" hidden="1">#REF!</definedName>
    <definedName name="__________________________lbc20" hidden="1">#REF!</definedName>
    <definedName name="__________________________lbc21" localSheetId="0" hidden="1">#REF!</definedName>
    <definedName name="__________________________lbc21" hidden="1">#REF!</definedName>
    <definedName name="__________________________lbc22" localSheetId="0" hidden="1">#REF!</definedName>
    <definedName name="__________________________lbc22" hidden="1">#REF!</definedName>
    <definedName name="__________________________lbc23" localSheetId="0" hidden="1">#REF!</definedName>
    <definedName name="__________________________lbc23" hidden="1">#REF!</definedName>
    <definedName name="__________________________lbc24" localSheetId="0" hidden="1">#REF!</definedName>
    <definedName name="__________________________lbc24" hidden="1">#REF!</definedName>
    <definedName name="__________________________lbc25" localSheetId="0" hidden="1">#REF!</definedName>
    <definedName name="__________________________lbc25" hidden="1">#REF!</definedName>
    <definedName name="__________________________lbc26" localSheetId="0" hidden="1">#REF!</definedName>
    <definedName name="__________________________lbc26" hidden="1">#REF!</definedName>
    <definedName name="__________________________lbc27" localSheetId="0" hidden="1">#REF!</definedName>
    <definedName name="__________________________lbc27" hidden="1">#REF!</definedName>
    <definedName name="__________________________lbc28" localSheetId="0" hidden="1">#REF!</definedName>
    <definedName name="__________________________lbc28" hidden="1">#REF!</definedName>
    <definedName name="__________________________lbc29" localSheetId="0" hidden="1">#REF!</definedName>
    <definedName name="__________________________lbc29" hidden="1">#REF!</definedName>
    <definedName name="__________________________lbc3" localSheetId="0" hidden="1">#REF!</definedName>
    <definedName name="__________________________lbc3" hidden="1">#REF!</definedName>
    <definedName name="__________________________lbc31" localSheetId="0" hidden="1">#REF!</definedName>
    <definedName name="__________________________lbc31" hidden="1">#REF!</definedName>
    <definedName name="__________________________lbc32" localSheetId="0" hidden="1">#REF!</definedName>
    <definedName name="__________________________lbc32" hidden="1">#REF!</definedName>
    <definedName name="__________________________lbc4" localSheetId="0" hidden="1">#REF!</definedName>
    <definedName name="__________________________lbc4" hidden="1">#REF!</definedName>
    <definedName name="__________________________lbc5" localSheetId="0" hidden="1">#REF!</definedName>
    <definedName name="__________________________lbc5" hidden="1">#REF!</definedName>
    <definedName name="__________________________lbc6" localSheetId="0" hidden="1">#REF!</definedName>
    <definedName name="__________________________lbc6" hidden="1">#REF!</definedName>
    <definedName name="__________________________lbc7" localSheetId="0" hidden="1">#REF!</definedName>
    <definedName name="__________________________lbc7" hidden="1">#REF!</definedName>
    <definedName name="__________________________lbc8" localSheetId="0" hidden="1">#REF!</definedName>
    <definedName name="__________________________lbc8" hidden="1">#REF!</definedName>
    <definedName name="__________________________lbc9" localSheetId="0" hidden="1">#REF!</definedName>
    <definedName name="__________________________lbc9" hidden="1">#REF!</definedName>
    <definedName name="__________________________ld26" localSheetId="0" hidden="1">#REF!</definedName>
    <definedName name="__________________________ld26" hidden="1">#REF!</definedName>
    <definedName name="__________________________ld31" localSheetId="0" hidden="1">#REF!</definedName>
    <definedName name="__________________________ld31" hidden="1">#REF!</definedName>
    <definedName name="__________________________le31" localSheetId="0" hidden="1">#REF!</definedName>
    <definedName name="__________________________le31" hidden="1">#REF!</definedName>
    <definedName name="__________________________lf31" localSheetId="0" hidden="1">#REF!</definedName>
    <definedName name="__________________________lf31" hidden="1">#REF!</definedName>
    <definedName name="__________________________x10" localSheetId="0" hidden="1">#REF!</definedName>
    <definedName name="__________________________x10" hidden="1">#REF!</definedName>
    <definedName name="__________________________x11" localSheetId="0" hidden="1">#REF!</definedName>
    <definedName name="__________________________x11" hidden="1">#REF!</definedName>
    <definedName name="__________________________x12" localSheetId="0" hidden="1">#REF!</definedName>
    <definedName name="__________________________x12" hidden="1">#REF!</definedName>
    <definedName name="__________________________x13" localSheetId="0" hidden="1">#REF!</definedName>
    <definedName name="__________________________x13" hidden="1">#REF!</definedName>
    <definedName name="__________________________x14" localSheetId="0" hidden="1">#REF!</definedName>
    <definedName name="__________________________x14" hidden="1">#REF!</definedName>
    <definedName name="__________________________x15" localSheetId="0" hidden="1">#REF!</definedName>
    <definedName name="__________________________x15" hidden="1">#REF!</definedName>
    <definedName name="__________________________x16" localSheetId="0" hidden="1">#REF!</definedName>
    <definedName name="__________________________x16" hidden="1">#REF!</definedName>
    <definedName name="__________________________x17" localSheetId="0" hidden="1">#REF!</definedName>
    <definedName name="__________________________x17" hidden="1">#REF!</definedName>
    <definedName name="__________________________x18" localSheetId="0" hidden="1">#REF!</definedName>
    <definedName name="__________________________x18" hidden="1">#REF!</definedName>
    <definedName name="__________________________x19" localSheetId="0" hidden="1">#REF!</definedName>
    <definedName name="__________________________x19" hidden="1">#REF!</definedName>
    <definedName name="__________________________x20" localSheetId="0" hidden="1">#REF!</definedName>
    <definedName name="__________________________x20" hidden="1">#REF!</definedName>
    <definedName name="__________________________x21" localSheetId="0" hidden="1">#REF!</definedName>
    <definedName name="__________________________x21" hidden="1">#REF!</definedName>
    <definedName name="__________________________x22" localSheetId="0" hidden="1">#REF!</definedName>
    <definedName name="__________________________x22" hidden="1">#REF!</definedName>
    <definedName name="__________________________x23" localSheetId="0" hidden="1">#REF!</definedName>
    <definedName name="__________________________x23" hidden="1">#REF!</definedName>
    <definedName name="__________________________x24" localSheetId="0" hidden="1">#REF!</definedName>
    <definedName name="__________________________x24" hidden="1">#REF!</definedName>
    <definedName name="__________________________x25" localSheetId="0" hidden="1">#REF!</definedName>
    <definedName name="__________________________x25" hidden="1">#REF!</definedName>
    <definedName name="__________________________x28" localSheetId="0" hidden="1">#REF!</definedName>
    <definedName name="__________________________x28" hidden="1">#REF!</definedName>
    <definedName name="__________________________x29" localSheetId="0" hidden="1">#REF!</definedName>
    <definedName name="__________________________x29" hidden="1">#REF!</definedName>
    <definedName name="__________________________x32" localSheetId="0" hidden="1">#REF!</definedName>
    <definedName name="__________________________x32" hidden="1">#REF!</definedName>
    <definedName name="__________________________x4" localSheetId="0" hidden="1">#REF!</definedName>
    <definedName name="__________________________x4" hidden="1">#REF!</definedName>
    <definedName name="__________________________x5" localSheetId="0" hidden="1">#REF!</definedName>
    <definedName name="__________________________x5" hidden="1">#REF!</definedName>
    <definedName name="__________________________x6" localSheetId="0" hidden="1">#REF!</definedName>
    <definedName name="__________________________x6" hidden="1">#REF!</definedName>
    <definedName name="__________________________x7" localSheetId="0" hidden="1">#REF!</definedName>
    <definedName name="__________________________x7" hidden="1">#REF!</definedName>
    <definedName name="__________________________x8" localSheetId="0" hidden="1">#REF!</definedName>
    <definedName name="__________________________x8" hidden="1">#REF!</definedName>
    <definedName name="__________________________x9" localSheetId="0" hidden="1">#REF!</definedName>
    <definedName name="__________________________x9" hidden="1">#REF!</definedName>
    <definedName name="_________________________INV12">#REF!</definedName>
    <definedName name="_________________________INV13">#REF!</definedName>
    <definedName name="_________________________inv2">#REF!</definedName>
    <definedName name="_________________________la29" localSheetId="27" hidden="1">#REF!</definedName>
    <definedName name="_________________________la29" localSheetId="0" hidden="1">#REF!</definedName>
    <definedName name="_________________________la29" hidden="1">#REF!</definedName>
    <definedName name="_________________________la3" localSheetId="27" hidden="1">#REF!</definedName>
    <definedName name="_________________________la3" localSheetId="0" hidden="1">#REF!</definedName>
    <definedName name="_________________________la3" hidden="1">#REF!</definedName>
    <definedName name="_________________________la31" localSheetId="27" hidden="1">#REF!</definedName>
    <definedName name="_________________________la31" localSheetId="0" hidden="1">#REF!</definedName>
    <definedName name="_________________________la31" hidden="1">#REF!</definedName>
    <definedName name="_________________________la32" localSheetId="0" hidden="1">#REF!</definedName>
    <definedName name="_________________________la32" hidden="1">#REF!</definedName>
    <definedName name="_________________________la4" localSheetId="0" hidden="1">#REF!</definedName>
    <definedName name="_________________________la4" hidden="1">#REF!</definedName>
    <definedName name="_________________________la5" localSheetId="0" hidden="1">#REF!</definedName>
    <definedName name="_________________________la5" hidden="1">#REF!</definedName>
    <definedName name="_________________________la6" localSheetId="0" hidden="1">#REF!</definedName>
    <definedName name="_________________________la6" hidden="1">#REF!</definedName>
    <definedName name="_________________________la7" localSheetId="0" hidden="1">#REF!</definedName>
    <definedName name="_________________________la7" hidden="1">#REF!</definedName>
    <definedName name="_________________________la8" localSheetId="0" hidden="1">#REF!</definedName>
    <definedName name="_________________________la8" hidden="1">#REF!</definedName>
    <definedName name="_________________________la9" localSheetId="0" hidden="1">#REF!</definedName>
    <definedName name="_________________________la9" hidden="1">#REF!</definedName>
    <definedName name="_________________________lb1" localSheetId="0" hidden="1">#REF!</definedName>
    <definedName name="_________________________lb1" hidden="1">#REF!</definedName>
    <definedName name="_________________________lb10" localSheetId="0" hidden="1">#REF!</definedName>
    <definedName name="_________________________lb10" hidden="1">#REF!</definedName>
    <definedName name="_________________________lb11" localSheetId="0" hidden="1">#REF!</definedName>
    <definedName name="_________________________lb11" hidden="1">#REF!</definedName>
    <definedName name="_________________________lb12" localSheetId="0" hidden="1">#REF!</definedName>
    <definedName name="_________________________lb12" hidden="1">#REF!</definedName>
    <definedName name="_________________________lb13" localSheetId="0" hidden="1">#REF!</definedName>
    <definedName name="_________________________lb13" hidden="1">#REF!</definedName>
    <definedName name="_________________________lb14" localSheetId="0" hidden="1">#REF!</definedName>
    <definedName name="_________________________lb14" hidden="1">#REF!</definedName>
    <definedName name="_________________________lb15" localSheetId="0" hidden="1">#REF!</definedName>
    <definedName name="_________________________lb15" hidden="1">#REF!</definedName>
    <definedName name="_________________________lb16" localSheetId="0" hidden="1">#REF!</definedName>
    <definedName name="_________________________lb16" hidden="1">#REF!</definedName>
    <definedName name="_________________________lb17" localSheetId="0" hidden="1">#REF!</definedName>
    <definedName name="_________________________lb17" hidden="1">#REF!</definedName>
    <definedName name="_________________________lb18" localSheetId="0" hidden="1">#REF!</definedName>
    <definedName name="_________________________lb18" hidden="1">#REF!</definedName>
    <definedName name="_________________________lb19" localSheetId="0" hidden="1">#REF!</definedName>
    <definedName name="_________________________lb19" hidden="1">#REF!</definedName>
    <definedName name="_________________________lb2" localSheetId="0" hidden="1">#REF!</definedName>
    <definedName name="_________________________lb2" hidden="1">#REF!</definedName>
    <definedName name="_________________________lb20" localSheetId="0" hidden="1">#REF!</definedName>
    <definedName name="_________________________lb20" hidden="1">#REF!</definedName>
    <definedName name="_________________________lb21" localSheetId="0" hidden="1">#REF!</definedName>
    <definedName name="_________________________lb21" hidden="1">#REF!</definedName>
    <definedName name="_________________________lb22" localSheetId="0" hidden="1">#REF!</definedName>
    <definedName name="_________________________lb22" hidden="1">#REF!</definedName>
    <definedName name="_________________________lb23" localSheetId="0" hidden="1">#REF!</definedName>
    <definedName name="_________________________lb23" hidden="1">#REF!</definedName>
    <definedName name="_________________________lb24" localSheetId="0" hidden="1">#REF!</definedName>
    <definedName name="_________________________lb24" hidden="1">#REF!</definedName>
    <definedName name="_________________________lb25" localSheetId="0" hidden="1">#REF!</definedName>
    <definedName name="_________________________lb25" hidden="1">#REF!</definedName>
    <definedName name="_________________________lb27" localSheetId="0" hidden="1">#REF!</definedName>
    <definedName name="_________________________lb27" hidden="1">#REF!</definedName>
    <definedName name="_________________________lb28" localSheetId="0" hidden="1">#REF!</definedName>
    <definedName name="_________________________lb28" hidden="1">#REF!</definedName>
    <definedName name="_________________________lb29" localSheetId="0" hidden="1">#REF!</definedName>
    <definedName name="_________________________lb29" hidden="1">#REF!</definedName>
    <definedName name="_________________________lb3" localSheetId="0" hidden="1">#REF!</definedName>
    <definedName name="_________________________lb3" hidden="1">#REF!</definedName>
    <definedName name="_________________________lb30" localSheetId="0" hidden="1">#REF!</definedName>
    <definedName name="_________________________lb30" hidden="1">#REF!</definedName>
    <definedName name="_________________________lb31" localSheetId="0" hidden="1">#REF!</definedName>
    <definedName name="_________________________lb31" hidden="1">#REF!</definedName>
    <definedName name="_________________________lb32" localSheetId="0" hidden="1">#REF!</definedName>
    <definedName name="_________________________lb32" hidden="1">#REF!</definedName>
    <definedName name="_________________________lb4" localSheetId="0" hidden="1">#REF!</definedName>
    <definedName name="_________________________lb4" hidden="1">#REF!</definedName>
    <definedName name="_________________________lb5" localSheetId="0" hidden="1">#REF!</definedName>
    <definedName name="_________________________lb5" hidden="1">#REF!</definedName>
    <definedName name="_________________________lb6" localSheetId="0" hidden="1">#REF!</definedName>
    <definedName name="_________________________lb6" hidden="1">#REF!</definedName>
    <definedName name="_________________________lb7" localSheetId="0" hidden="1">#REF!</definedName>
    <definedName name="_________________________lb7" hidden="1">#REF!</definedName>
    <definedName name="_________________________lb8" localSheetId="0" hidden="1">#REF!</definedName>
    <definedName name="_________________________lb8" hidden="1">#REF!</definedName>
    <definedName name="_________________________lb9" localSheetId="0" hidden="1">#REF!</definedName>
    <definedName name="_________________________lb9" hidden="1">#REF!</definedName>
    <definedName name="_________________________lbc1" localSheetId="0" hidden="1">#REF!</definedName>
    <definedName name="_________________________lbc1" hidden="1">#REF!</definedName>
    <definedName name="_________________________lbc10" localSheetId="0" hidden="1">#REF!</definedName>
    <definedName name="_________________________lbc10" hidden="1">#REF!</definedName>
    <definedName name="_________________________lbc11" localSheetId="0" hidden="1">#REF!</definedName>
    <definedName name="_________________________lbc11" hidden="1">#REF!</definedName>
    <definedName name="_________________________lbc12" localSheetId="0" hidden="1">#REF!</definedName>
    <definedName name="_________________________lbc12" hidden="1">#REF!</definedName>
    <definedName name="_________________________lbc13" localSheetId="0" hidden="1">#REF!</definedName>
    <definedName name="_________________________lbc13" hidden="1">#REF!</definedName>
    <definedName name="_________________________lbc14" localSheetId="0" hidden="1">#REF!</definedName>
    <definedName name="_________________________lbc14" hidden="1">#REF!</definedName>
    <definedName name="_________________________lbc15" localSheetId="0" hidden="1">#REF!</definedName>
    <definedName name="_________________________lbc15" hidden="1">#REF!</definedName>
    <definedName name="_________________________lbc16" localSheetId="0" hidden="1">#REF!</definedName>
    <definedName name="_________________________lbc16" hidden="1">#REF!</definedName>
    <definedName name="_________________________lbc17" localSheetId="0" hidden="1">#REF!</definedName>
    <definedName name="_________________________lbc17" hidden="1">#REF!</definedName>
    <definedName name="_________________________lbc18" localSheetId="0" hidden="1">#REF!</definedName>
    <definedName name="_________________________lbc18" hidden="1">#REF!</definedName>
    <definedName name="_________________________lbc19" localSheetId="0" hidden="1">#REF!</definedName>
    <definedName name="_________________________lbc19" hidden="1">#REF!</definedName>
    <definedName name="_________________________lbc2" localSheetId="0" hidden="1">#REF!</definedName>
    <definedName name="_________________________lbc2" hidden="1">#REF!</definedName>
    <definedName name="_________________________lbc20" localSheetId="0" hidden="1">#REF!</definedName>
    <definedName name="_________________________lbc20" hidden="1">#REF!</definedName>
    <definedName name="_________________________lbc21" localSheetId="0" hidden="1">#REF!</definedName>
    <definedName name="_________________________lbc21" hidden="1">#REF!</definedName>
    <definedName name="_________________________lbc22" localSheetId="0" hidden="1">#REF!</definedName>
    <definedName name="_________________________lbc22" hidden="1">#REF!</definedName>
    <definedName name="_________________________lbc23" localSheetId="0" hidden="1">#REF!</definedName>
    <definedName name="_________________________lbc23" hidden="1">#REF!</definedName>
    <definedName name="_________________________lbc24" localSheetId="0" hidden="1">#REF!</definedName>
    <definedName name="_________________________lbc24" hidden="1">#REF!</definedName>
    <definedName name="_________________________lbc25" localSheetId="0" hidden="1">#REF!</definedName>
    <definedName name="_________________________lbc25" hidden="1">#REF!</definedName>
    <definedName name="_________________________lbc26" localSheetId="0" hidden="1">#REF!</definedName>
    <definedName name="_________________________lbc26" hidden="1">#REF!</definedName>
    <definedName name="_________________________lbc27" localSheetId="0" hidden="1">#REF!</definedName>
    <definedName name="_________________________lbc27" hidden="1">#REF!</definedName>
    <definedName name="_________________________lbc28" localSheetId="0" hidden="1">#REF!</definedName>
    <definedName name="_________________________lbc28" hidden="1">#REF!</definedName>
    <definedName name="_________________________lbc29" localSheetId="0" hidden="1">#REF!</definedName>
    <definedName name="_________________________lbc29" hidden="1">#REF!</definedName>
    <definedName name="_________________________lbc3" localSheetId="0" hidden="1">#REF!</definedName>
    <definedName name="_________________________lbc3" hidden="1">#REF!</definedName>
    <definedName name="_________________________lbc31" localSheetId="0" hidden="1">#REF!</definedName>
    <definedName name="_________________________lbc31" hidden="1">#REF!</definedName>
    <definedName name="_________________________lbc32" localSheetId="0" hidden="1">#REF!</definedName>
    <definedName name="_________________________lbc32" hidden="1">#REF!</definedName>
    <definedName name="_________________________lbc4" localSheetId="0" hidden="1">#REF!</definedName>
    <definedName name="_________________________lbc4" hidden="1">#REF!</definedName>
    <definedName name="_________________________lbc5" localSheetId="0" hidden="1">#REF!</definedName>
    <definedName name="_________________________lbc5" hidden="1">#REF!</definedName>
    <definedName name="_________________________lbc6" localSheetId="0" hidden="1">#REF!</definedName>
    <definedName name="_________________________lbc6" hidden="1">#REF!</definedName>
    <definedName name="_________________________lbc7" localSheetId="0" hidden="1">#REF!</definedName>
    <definedName name="_________________________lbc7" hidden="1">#REF!</definedName>
    <definedName name="_________________________lbc8" localSheetId="0" hidden="1">#REF!</definedName>
    <definedName name="_________________________lbc8" hidden="1">#REF!</definedName>
    <definedName name="_________________________lbc9" localSheetId="0" hidden="1">#REF!</definedName>
    <definedName name="_________________________lbc9" hidden="1">#REF!</definedName>
    <definedName name="_________________________ld26" localSheetId="0" hidden="1">#REF!</definedName>
    <definedName name="_________________________ld26" hidden="1">#REF!</definedName>
    <definedName name="_________________________ld31" localSheetId="0" hidden="1">#REF!</definedName>
    <definedName name="_________________________ld31" hidden="1">#REF!</definedName>
    <definedName name="_________________________le31" localSheetId="0" hidden="1">#REF!</definedName>
    <definedName name="_________________________le31" hidden="1">#REF!</definedName>
    <definedName name="_________________________lf31" localSheetId="0" hidden="1">#REF!</definedName>
    <definedName name="_________________________lf31" hidden="1">#REF!</definedName>
    <definedName name="_________________________x10" localSheetId="0" hidden="1">#REF!</definedName>
    <definedName name="_________________________x10" hidden="1">#REF!</definedName>
    <definedName name="_________________________x11" localSheetId="0" hidden="1">#REF!</definedName>
    <definedName name="_________________________x11" hidden="1">#REF!</definedName>
    <definedName name="_________________________x12" localSheetId="0" hidden="1">#REF!</definedName>
    <definedName name="_________________________x12" hidden="1">#REF!</definedName>
    <definedName name="_________________________x13" localSheetId="0" hidden="1">#REF!</definedName>
    <definedName name="_________________________x13" hidden="1">#REF!</definedName>
    <definedName name="_________________________x14" localSheetId="0" hidden="1">#REF!</definedName>
    <definedName name="_________________________x14" hidden="1">#REF!</definedName>
    <definedName name="_________________________x15" localSheetId="0" hidden="1">#REF!</definedName>
    <definedName name="_________________________x15" hidden="1">#REF!</definedName>
    <definedName name="_________________________x16" localSheetId="0" hidden="1">#REF!</definedName>
    <definedName name="_________________________x16" hidden="1">#REF!</definedName>
    <definedName name="_________________________x17" localSheetId="0" hidden="1">#REF!</definedName>
    <definedName name="_________________________x17" hidden="1">#REF!</definedName>
    <definedName name="_________________________x18" localSheetId="0" hidden="1">#REF!</definedName>
    <definedName name="_________________________x18" hidden="1">#REF!</definedName>
    <definedName name="_________________________x19" localSheetId="0" hidden="1">#REF!</definedName>
    <definedName name="_________________________x19" hidden="1">#REF!</definedName>
    <definedName name="_________________________x20" localSheetId="0" hidden="1">#REF!</definedName>
    <definedName name="_________________________x20" hidden="1">#REF!</definedName>
    <definedName name="_________________________x21" localSheetId="0" hidden="1">#REF!</definedName>
    <definedName name="_________________________x21" hidden="1">#REF!</definedName>
    <definedName name="_________________________x22" localSheetId="0" hidden="1">#REF!</definedName>
    <definedName name="_________________________x22" hidden="1">#REF!</definedName>
    <definedName name="_________________________x23" localSheetId="0" hidden="1">#REF!</definedName>
    <definedName name="_________________________x23" hidden="1">#REF!</definedName>
    <definedName name="_________________________x24" localSheetId="0" hidden="1">#REF!</definedName>
    <definedName name="_________________________x24" hidden="1">#REF!</definedName>
    <definedName name="_________________________x25" localSheetId="0" hidden="1">#REF!</definedName>
    <definedName name="_________________________x25" hidden="1">#REF!</definedName>
    <definedName name="_________________________x28" localSheetId="0" hidden="1">#REF!</definedName>
    <definedName name="_________________________x28" hidden="1">#REF!</definedName>
    <definedName name="_________________________x29" localSheetId="0" hidden="1">#REF!</definedName>
    <definedName name="_________________________x29" hidden="1">#REF!</definedName>
    <definedName name="_________________________x32" localSheetId="0" hidden="1">#REF!</definedName>
    <definedName name="_________________________x32" hidden="1">#REF!</definedName>
    <definedName name="_________________________x4" localSheetId="0" hidden="1">#REF!</definedName>
    <definedName name="_________________________x4" hidden="1">#REF!</definedName>
    <definedName name="_________________________x5" localSheetId="0" hidden="1">#REF!</definedName>
    <definedName name="_________________________x5" hidden="1">#REF!</definedName>
    <definedName name="_________________________x6" localSheetId="0" hidden="1">#REF!</definedName>
    <definedName name="_________________________x6" hidden="1">#REF!</definedName>
    <definedName name="_________________________x7" localSheetId="0" hidden="1">#REF!</definedName>
    <definedName name="_________________________x7" hidden="1">#REF!</definedName>
    <definedName name="_________________________x8" localSheetId="0" hidden="1">#REF!</definedName>
    <definedName name="_________________________x8" hidden="1">#REF!</definedName>
    <definedName name="_________________________x9" localSheetId="0" hidden="1">#REF!</definedName>
    <definedName name="_________________________x9" hidden="1">#REF!</definedName>
    <definedName name="________________________INV12">#REF!</definedName>
    <definedName name="________________________INV13">#REF!</definedName>
    <definedName name="________________________inv2">#REF!</definedName>
    <definedName name="________________________la29" localSheetId="27" hidden="1">#REF!</definedName>
    <definedName name="________________________la29" localSheetId="0" hidden="1">#REF!</definedName>
    <definedName name="________________________la29" hidden="1">#REF!</definedName>
    <definedName name="________________________la3" localSheetId="27" hidden="1">#REF!</definedName>
    <definedName name="________________________la3" localSheetId="0" hidden="1">#REF!</definedName>
    <definedName name="________________________la3" hidden="1">#REF!</definedName>
    <definedName name="________________________la31" localSheetId="27" hidden="1">#REF!</definedName>
    <definedName name="________________________la31" localSheetId="0" hidden="1">#REF!</definedName>
    <definedName name="________________________la31" hidden="1">#REF!</definedName>
    <definedName name="________________________la32" localSheetId="0" hidden="1">#REF!</definedName>
    <definedName name="________________________la32" hidden="1">#REF!</definedName>
    <definedName name="________________________la4" localSheetId="0" hidden="1">#REF!</definedName>
    <definedName name="________________________la4" hidden="1">#REF!</definedName>
    <definedName name="________________________la5" localSheetId="0" hidden="1">#REF!</definedName>
    <definedName name="________________________la5" hidden="1">#REF!</definedName>
    <definedName name="________________________la6" localSheetId="0" hidden="1">#REF!</definedName>
    <definedName name="________________________la6" hidden="1">#REF!</definedName>
    <definedName name="________________________la7" localSheetId="0" hidden="1">#REF!</definedName>
    <definedName name="________________________la7" hidden="1">#REF!</definedName>
    <definedName name="________________________la8" localSheetId="0" hidden="1">#REF!</definedName>
    <definedName name="________________________la8" hidden="1">#REF!</definedName>
    <definedName name="________________________la9" localSheetId="0" hidden="1">#REF!</definedName>
    <definedName name="________________________la9" hidden="1">#REF!</definedName>
    <definedName name="________________________lb1" localSheetId="0" hidden="1">#REF!</definedName>
    <definedName name="________________________lb1" hidden="1">#REF!</definedName>
    <definedName name="________________________lb10" localSheetId="0" hidden="1">#REF!</definedName>
    <definedName name="________________________lb10" hidden="1">#REF!</definedName>
    <definedName name="________________________lb11" localSheetId="0" hidden="1">#REF!</definedName>
    <definedName name="________________________lb11" hidden="1">#REF!</definedName>
    <definedName name="________________________lb12" localSheetId="0" hidden="1">#REF!</definedName>
    <definedName name="________________________lb12" hidden="1">#REF!</definedName>
    <definedName name="________________________lb13" localSheetId="0" hidden="1">#REF!</definedName>
    <definedName name="________________________lb13" hidden="1">#REF!</definedName>
    <definedName name="________________________lb14" localSheetId="0" hidden="1">#REF!</definedName>
    <definedName name="________________________lb14" hidden="1">#REF!</definedName>
    <definedName name="________________________lb15" localSheetId="0" hidden="1">#REF!</definedName>
    <definedName name="________________________lb15" hidden="1">#REF!</definedName>
    <definedName name="________________________lb16" localSheetId="0" hidden="1">#REF!</definedName>
    <definedName name="________________________lb16" hidden="1">#REF!</definedName>
    <definedName name="________________________lb17" localSheetId="0" hidden="1">#REF!</definedName>
    <definedName name="________________________lb17" hidden="1">#REF!</definedName>
    <definedName name="________________________lb18" localSheetId="0" hidden="1">#REF!</definedName>
    <definedName name="________________________lb18" hidden="1">#REF!</definedName>
    <definedName name="________________________lb19" localSheetId="0" hidden="1">#REF!</definedName>
    <definedName name="________________________lb19" hidden="1">#REF!</definedName>
    <definedName name="________________________lb2" localSheetId="0" hidden="1">#REF!</definedName>
    <definedName name="________________________lb2" hidden="1">#REF!</definedName>
    <definedName name="________________________lb20" localSheetId="0" hidden="1">#REF!</definedName>
    <definedName name="________________________lb20" hidden="1">#REF!</definedName>
    <definedName name="________________________lb21" localSheetId="0" hidden="1">#REF!</definedName>
    <definedName name="________________________lb21" hidden="1">#REF!</definedName>
    <definedName name="________________________lb22" localSheetId="0" hidden="1">#REF!</definedName>
    <definedName name="________________________lb22" hidden="1">#REF!</definedName>
    <definedName name="________________________lb23" localSheetId="0" hidden="1">#REF!</definedName>
    <definedName name="________________________lb23" hidden="1">#REF!</definedName>
    <definedName name="________________________lb24" localSheetId="0" hidden="1">#REF!</definedName>
    <definedName name="________________________lb24" hidden="1">#REF!</definedName>
    <definedName name="________________________lb25" localSheetId="0" hidden="1">#REF!</definedName>
    <definedName name="________________________lb25" hidden="1">#REF!</definedName>
    <definedName name="________________________lb27" localSheetId="0" hidden="1">#REF!</definedName>
    <definedName name="________________________lb27" hidden="1">#REF!</definedName>
    <definedName name="________________________lb28" localSheetId="0" hidden="1">#REF!</definedName>
    <definedName name="________________________lb28" hidden="1">#REF!</definedName>
    <definedName name="________________________lb29" localSheetId="0" hidden="1">#REF!</definedName>
    <definedName name="________________________lb29" hidden="1">#REF!</definedName>
    <definedName name="________________________lb3" localSheetId="0" hidden="1">#REF!</definedName>
    <definedName name="________________________lb3" hidden="1">#REF!</definedName>
    <definedName name="________________________lb30" localSheetId="0" hidden="1">#REF!</definedName>
    <definedName name="________________________lb30" hidden="1">#REF!</definedName>
    <definedName name="________________________lb31" localSheetId="0" hidden="1">#REF!</definedName>
    <definedName name="________________________lb31" hidden="1">#REF!</definedName>
    <definedName name="________________________lb32" localSheetId="0" hidden="1">#REF!</definedName>
    <definedName name="________________________lb32" hidden="1">#REF!</definedName>
    <definedName name="________________________lb4" localSheetId="0" hidden="1">#REF!</definedName>
    <definedName name="________________________lb4" hidden="1">#REF!</definedName>
    <definedName name="________________________lb5" localSheetId="0" hidden="1">#REF!</definedName>
    <definedName name="________________________lb5" hidden="1">#REF!</definedName>
    <definedName name="________________________lb6" localSheetId="0" hidden="1">#REF!</definedName>
    <definedName name="________________________lb6" hidden="1">#REF!</definedName>
    <definedName name="________________________lb7" localSheetId="0" hidden="1">#REF!</definedName>
    <definedName name="________________________lb7" hidden="1">#REF!</definedName>
    <definedName name="________________________lb8" localSheetId="0" hidden="1">#REF!</definedName>
    <definedName name="________________________lb8" hidden="1">#REF!</definedName>
    <definedName name="________________________lb9" localSheetId="0" hidden="1">#REF!</definedName>
    <definedName name="________________________lb9" hidden="1">#REF!</definedName>
    <definedName name="________________________lbc1" localSheetId="0" hidden="1">#REF!</definedName>
    <definedName name="________________________lbc1" hidden="1">#REF!</definedName>
    <definedName name="________________________lbc10" localSheetId="0" hidden="1">#REF!</definedName>
    <definedName name="________________________lbc10" hidden="1">#REF!</definedName>
    <definedName name="________________________lbc11" localSheetId="0" hidden="1">#REF!</definedName>
    <definedName name="________________________lbc11" hidden="1">#REF!</definedName>
    <definedName name="________________________lbc12" localSheetId="0" hidden="1">#REF!</definedName>
    <definedName name="________________________lbc12" hidden="1">#REF!</definedName>
    <definedName name="________________________lbc13" localSheetId="0" hidden="1">#REF!</definedName>
    <definedName name="________________________lbc13" hidden="1">#REF!</definedName>
    <definedName name="________________________lbc14" localSheetId="0" hidden="1">#REF!</definedName>
    <definedName name="________________________lbc14" hidden="1">#REF!</definedName>
    <definedName name="________________________lbc15" localSheetId="0" hidden="1">#REF!</definedName>
    <definedName name="________________________lbc15" hidden="1">#REF!</definedName>
    <definedName name="________________________lbc16" localSheetId="0" hidden="1">#REF!</definedName>
    <definedName name="________________________lbc16" hidden="1">#REF!</definedName>
    <definedName name="________________________lbc17" localSheetId="0" hidden="1">#REF!</definedName>
    <definedName name="________________________lbc17" hidden="1">#REF!</definedName>
    <definedName name="________________________lbc18" localSheetId="0" hidden="1">#REF!</definedName>
    <definedName name="________________________lbc18" hidden="1">#REF!</definedName>
    <definedName name="________________________lbc19" localSheetId="0" hidden="1">#REF!</definedName>
    <definedName name="________________________lbc19" hidden="1">#REF!</definedName>
    <definedName name="________________________lbc2" localSheetId="0" hidden="1">#REF!</definedName>
    <definedName name="________________________lbc2" hidden="1">#REF!</definedName>
    <definedName name="________________________lbc20" localSheetId="0" hidden="1">#REF!</definedName>
    <definedName name="________________________lbc20" hidden="1">#REF!</definedName>
    <definedName name="________________________lbc21" localSheetId="0" hidden="1">#REF!</definedName>
    <definedName name="________________________lbc21" hidden="1">#REF!</definedName>
    <definedName name="________________________lbc22" localSheetId="0" hidden="1">#REF!</definedName>
    <definedName name="________________________lbc22" hidden="1">#REF!</definedName>
    <definedName name="________________________lbc23" localSheetId="0" hidden="1">#REF!</definedName>
    <definedName name="________________________lbc23" hidden="1">#REF!</definedName>
    <definedName name="________________________lbc24" localSheetId="0" hidden="1">#REF!</definedName>
    <definedName name="________________________lbc24" hidden="1">#REF!</definedName>
    <definedName name="________________________lbc25" localSheetId="0" hidden="1">#REF!</definedName>
    <definedName name="________________________lbc25" hidden="1">#REF!</definedName>
    <definedName name="________________________lbc26" localSheetId="0" hidden="1">#REF!</definedName>
    <definedName name="________________________lbc26" hidden="1">#REF!</definedName>
    <definedName name="________________________lbc27" localSheetId="0" hidden="1">#REF!</definedName>
    <definedName name="________________________lbc27" hidden="1">#REF!</definedName>
    <definedName name="________________________lbc28" localSheetId="0" hidden="1">#REF!</definedName>
    <definedName name="________________________lbc28" hidden="1">#REF!</definedName>
    <definedName name="________________________lbc29" localSheetId="0" hidden="1">#REF!</definedName>
    <definedName name="________________________lbc29" hidden="1">#REF!</definedName>
    <definedName name="________________________lbc3" localSheetId="0" hidden="1">#REF!</definedName>
    <definedName name="________________________lbc3" hidden="1">#REF!</definedName>
    <definedName name="________________________lbc31" localSheetId="0" hidden="1">#REF!</definedName>
    <definedName name="________________________lbc31" hidden="1">#REF!</definedName>
    <definedName name="________________________lbc32" localSheetId="0" hidden="1">#REF!</definedName>
    <definedName name="________________________lbc32" hidden="1">#REF!</definedName>
    <definedName name="________________________lbc4" localSheetId="0" hidden="1">#REF!</definedName>
    <definedName name="________________________lbc4" hidden="1">#REF!</definedName>
    <definedName name="________________________lbc5" localSheetId="0" hidden="1">#REF!</definedName>
    <definedName name="________________________lbc5" hidden="1">#REF!</definedName>
    <definedName name="________________________lbc6" localSheetId="0" hidden="1">#REF!</definedName>
    <definedName name="________________________lbc6" hidden="1">#REF!</definedName>
    <definedName name="________________________lbc7" localSheetId="0" hidden="1">#REF!</definedName>
    <definedName name="________________________lbc7" hidden="1">#REF!</definedName>
    <definedName name="________________________lbc8" localSheetId="0" hidden="1">#REF!</definedName>
    <definedName name="________________________lbc8" hidden="1">#REF!</definedName>
    <definedName name="________________________lbc9" localSheetId="0" hidden="1">#REF!</definedName>
    <definedName name="________________________lbc9" hidden="1">#REF!</definedName>
    <definedName name="________________________ld26" localSheetId="0" hidden="1">#REF!</definedName>
    <definedName name="________________________ld26" hidden="1">#REF!</definedName>
    <definedName name="________________________ld31" localSheetId="0" hidden="1">#REF!</definedName>
    <definedName name="________________________ld31" hidden="1">#REF!</definedName>
    <definedName name="________________________le31" localSheetId="0" hidden="1">#REF!</definedName>
    <definedName name="________________________le31" hidden="1">#REF!</definedName>
    <definedName name="________________________lf31" localSheetId="0" hidden="1">#REF!</definedName>
    <definedName name="________________________lf31" hidden="1">#REF!</definedName>
    <definedName name="________________________x10" localSheetId="0" hidden="1">#REF!</definedName>
    <definedName name="________________________x10" hidden="1">#REF!</definedName>
    <definedName name="________________________x11" localSheetId="0" hidden="1">#REF!</definedName>
    <definedName name="________________________x11" hidden="1">#REF!</definedName>
    <definedName name="________________________x12" localSheetId="0" hidden="1">#REF!</definedName>
    <definedName name="________________________x12" hidden="1">#REF!</definedName>
    <definedName name="________________________x13" localSheetId="0" hidden="1">#REF!</definedName>
    <definedName name="________________________x13" hidden="1">#REF!</definedName>
    <definedName name="________________________x14" localSheetId="0" hidden="1">#REF!</definedName>
    <definedName name="________________________x14" hidden="1">#REF!</definedName>
    <definedName name="________________________x15" localSheetId="0" hidden="1">#REF!</definedName>
    <definedName name="________________________x15" hidden="1">#REF!</definedName>
    <definedName name="________________________x16" localSheetId="0" hidden="1">#REF!</definedName>
    <definedName name="________________________x16" hidden="1">#REF!</definedName>
    <definedName name="________________________x17" localSheetId="0" hidden="1">#REF!</definedName>
    <definedName name="________________________x17" hidden="1">#REF!</definedName>
    <definedName name="________________________x18" localSheetId="0" hidden="1">#REF!</definedName>
    <definedName name="________________________x18" hidden="1">#REF!</definedName>
    <definedName name="________________________x19" localSheetId="0" hidden="1">#REF!</definedName>
    <definedName name="________________________x19" hidden="1">#REF!</definedName>
    <definedName name="________________________x20" localSheetId="0" hidden="1">#REF!</definedName>
    <definedName name="________________________x20" hidden="1">#REF!</definedName>
    <definedName name="________________________x21" localSheetId="0" hidden="1">#REF!</definedName>
    <definedName name="________________________x21" hidden="1">#REF!</definedName>
    <definedName name="________________________x22" localSheetId="0" hidden="1">#REF!</definedName>
    <definedName name="________________________x22" hidden="1">#REF!</definedName>
    <definedName name="________________________x23" localSheetId="0" hidden="1">#REF!</definedName>
    <definedName name="________________________x23" hidden="1">#REF!</definedName>
    <definedName name="________________________x24" localSheetId="0" hidden="1">#REF!</definedName>
    <definedName name="________________________x24" hidden="1">#REF!</definedName>
    <definedName name="________________________x25" localSheetId="0" hidden="1">#REF!</definedName>
    <definedName name="________________________x25" hidden="1">#REF!</definedName>
    <definedName name="________________________x28" localSheetId="0" hidden="1">#REF!</definedName>
    <definedName name="________________________x28" hidden="1">#REF!</definedName>
    <definedName name="________________________x29" localSheetId="0" hidden="1">#REF!</definedName>
    <definedName name="________________________x29" hidden="1">#REF!</definedName>
    <definedName name="________________________x32" localSheetId="0" hidden="1">#REF!</definedName>
    <definedName name="________________________x32" hidden="1">#REF!</definedName>
    <definedName name="________________________x4" localSheetId="0" hidden="1">#REF!</definedName>
    <definedName name="________________________x4" hidden="1">#REF!</definedName>
    <definedName name="________________________x5" localSheetId="0" hidden="1">#REF!</definedName>
    <definedName name="________________________x5" hidden="1">#REF!</definedName>
    <definedName name="________________________x6" localSheetId="0" hidden="1">#REF!</definedName>
    <definedName name="________________________x6" hidden="1">#REF!</definedName>
    <definedName name="________________________x7" localSheetId="0" hidden="1">#REF!</definedName>
    <definedName name="________________________x7" hidden="1">#REF!</definedName>
    <definedName name="________________________x8" localSheetId="0" hidden="1">#REF!</definedName>
    <definedName name="________________________x8" hidden="1">#REF!</definedName>
    <definedName name="________________________x9" localSheetId="0" hidden="1">#REF!</definedName>
    <definedName name="________________________x9" hidden="1">#REF!</definedName>
    <definedName name="_______________________INV12">#REF!</definedName>
    <definedName name="_______________________INV13">#REF!</definedName>
    <definedName name="_______________________inv2">#REF!</definedName>
    <definedName name="_______________________la29" localSheetId="27" hidden="1">#REF!</definedName>
    <definedName name="_______________________la29" localSheetId="0" hidden="1">#REF!</definedName>
    <definedName name="_______________________la29" hidden="1">#REF!</definedName>
    <definedName name="_______________________la3" localSheetId="27" hidden="1">#REF!</definedName>
    <definedName name="_______________________la3" localSheetId="0" hidden="1">#REF!</definedName>
    <definedName name="_______________________la3" hidden="1">#REF!</definedName>
    <definedName name="_______________________la31" localSheetId="27" hidden="1">#REF!</definedName>
    <definedName name="_______________________la31" localSheetId="0" hidden="1">#REF!</definedName>
    <definedName name="_______________________la31" hidden="1">#REF!</definedName>
    <definedName name="_______________________la32" localSheetId="0" hidden="1">#REF!</definedName>
    <definedName name="_______________________la32" hidden="1">#REF!</definedName>
    <definedName name="_______________________la4" localSheetId="0" hidden="1">#REF!</definedName>
    <definedName name="_______________________la4" hidden="1">#REF!</definedName>
    <definedName name="_______________________la5" localSheetId="0" hidden="1">#REF!</definedName>
    <definedName name="_______________________la5" hidden="1">#REF!</definedName>
    <definedName name="_______________________la6" localSheetId="0" hidden="1">#REF!</definedName>
    <definedName name="_______________________la6" hidden="1">#REF!</definedName>
    <definedName name="_______________________la7" localSheetId="0" hidden="1">#REF!</definedName>
    <definedName name="_______________________la7" hidden="1">#REF!</definedName>
    <definedName name="_______________________la8" localSheetId="0" hidden="1">#REF!</definedName>
    <definedName name="_______________________la8" hidden="1">#REF!</definedName>
    <definedName name="_______________________la9" localSheetId="0" hidden="1">#REF!</definedName>
    <definedName name="_______________________la9" hidden="1">#REF!</definedName>
    <definedName name="_______________________lb1" localSheetId="0" hidden="1">#REF!</definedName>
    <definedName name="_______________________lb1" hidden="1">#REF!</definedName>
    <definedName name="_______________________lb10" localSheetId="0" hidden="1">#REF!</definedName>
    <definedName name="_______________________lb10" hidden="1">#REF!</definedName>
    <definedName name="_______________________lb11" localSheetId="0" hidden="1">#REF!</definedName>
    <definedName name="_______________________lb11" hidden="1">#REF!</definedName>
    <definedName name="_______________________lb12" localSheetId="0" hidden="1">#REF!</definedName>
    <definedName name="_______________________lb12" hidden="1">#REF!</definedName>
    <definedName name="_______________________lb13" localSheetId="0" hidden="1">#REF!</definedName>
    <definedName name="_______________________lb13" hidden="1">#REF!</definedName>
    <definedName name="_______________________lb14" localSheetId="0" hidden="1">#REF!</definedName>
    <definedName name="_______________________lb14" hidden="1">#REF!</definedName>
    <definedName name="_______________________lb15" localSheetId="0" hidden="1">#REF!</definedName>
    <definedName name="_______________________lb15" hidden="1">#REF!</definedName>
    <definedName name="_______________________lb16" localSheetId="0" hidden="1">#REF!</definedName>
    <definedName name="_______________________lb16" hidden="1">#REF!</definedName>
    <definedName name="_______________________lb17" localSheetId="0" hidden="1">#REF!</definedName>
    <definedName name="_______________________lb17" hidden="1">#REF!</definedName>
    <definedName name="_______________________lb18" localSheetId="0" hidden="1">#REF!</definedName>
    <definedName name="_______________________lb18" hidden="1">#REF!</definedName>
    <definedName name="_______________________lb19" localSheetId="0" hidden="1">#REF!</definedName>
    <definedName name="_______________________lb19" hidden="1">#REF!</definedName>
    <definedName name="_______________________lb2" localSheetId="0" hidden="1">#REF!</definedName>
    <definedName name="_______________________lb2" hidden="1">#REF!</definedName>
    <definedName name="_______________________lb20" localSheetId="0" hidden="1">#REF!</definedName>
    <definedName name="_______________________lb20" hidden="1">#REF!</definedName>
    <definedName name="_______________________lb21" localSheetId="0" hidden="1">#REF!</definedName>
    <definedName name="_______________________lb21" hidden="1">#REF!</definedName>
    <definedName name="_______________________lb22" localSheetId="0" hidden="1">#REF!</definedName>
    <definedName name="_______________________lb22" hidden="1">#REF!</definedName>
    <definedName name="_______________________lb23" localSheetId="0" hidden="1">#REF!</definedName>
    <definedName name="_______________________lb23" hidden="1">#REF!</definedName>
    <definedName name="_______________________lb24" localSheetId="0" hidden="1">#REF!</definedName>
    <definedName name="_______________________lb24" hidden="1">#REF!</definedName>
    <definedName name="_______________________lb25" localSheetId="0" hidden="1">#REF!</definedName>
    <definedName name="_______________________lb25" hidden="1">#REF!</definedName>
    <definedName name="_______________________lb27" localSheetId="0" hidden="1">#REF!</definedName>
    <definedName name="_______________________lb27" hidden="1">#REF!</definedName>
    <definedName name="_______________________lb28" localSheetId="0" hidden="1">#REF!</definedName>
    <definedName name="_______________________lb28" hidden="1">#REF!</definedName>
    <definedName name="_______________________lb29" localSheetId="0" hidden="1">#REF!</definedName>
    <definedName name="_______________________lb29" hidden="1">#REF!</definedName>
    <definedName name="_______________________lb3" localSheetId="0" hidden="1">#REF!</definedName>
    <definedName name="_______________________lb3" hidden="1">#REF!</definedName>
    <definedName name="_______________________lb30" localSheetId="0" hidden="1">#REF!</definedName>
    <definedName name="_______________________lb30" hidden="1">#REF!</definedName>
    <definedName name="_______________________lb31" localSheetId="0" hidden="1">#REF!</definedName>
    <definedName name="_______________________lb31" hidden="1">#REF!</definedName>
    <definedName name="_______________________lb32" localSheetId="0" hidden="1">#REF!</definedName>
    <definedName name="_______________________lb32" hidden="1">#REF!</definedName>
    <definedName name="_______________________lb4" localSheetId="0" hidden="1">#REF!</definedName>
    <definedName name="_______________________lb4" hidden="1">#REF!</definedName>
    <definedName name="_______________________lb5" localSheetId="0" hidden="1">#REF!</definedName>
    <definedName name="_______________________lb5" hidden="1">#REF!</definedName>
    <definedName name="_______________________lb6" localSheetId="0" hidden="1">#REF!</definedName>
    <definedName name="_______________________lb6" hidden="1">#REF!</definedName>
    <definedName name="_______________________lb7" localSheetId="0" hidden="1">#REF!</definedName>
    <definedName name="_______________________lb7" hidden="1">#REF!</definedName>
    <definedName name="_______________________lb8" localSheetId="0" hidden="1">#REF!</definedName>
    <definedName name="_______________________lb8" hidden="1">#REF!</definedName>
    <definedName name="_______________________lb9" localSheetId="0" hidden="1">#REF!</definedName>
    <definedName name="_______________________lb9" hidden="1">#REF!</definedName>
    <definedName name="_______________________lbc1" localSheetId="0" hidden="1">#REF!</definedName>
    <definedName name="_______________________lbc1" hidden="1">#REF!</definedName>
    <definedName name="_______________________lbc10" localSheetId="0" hidden="1">#REF!</definedName>
    <definedName name="_______________________lbc10" hidden="1">#REF!</definedName>
    <definedName name="_______________________lbc11" localSheetId="0" hidden="1">#REF!</definedName>
    <definedName name="_______________________lbc11" hidden="1">#REF!</definedName>
    <definedName name="_______________________lbc12" localSheetId="0" hidden="1">#REF!</definedName>
    <definedName name="_______________________lbc12" hidden="1">#REF!</definedName>
    <definedName name="_______________________lbc13" localSheetId="0" hidden="1">#REF!</definedName>
    <definedName name="_______________________lbc13" hidden="1">#REF!</definedName>
    <definedName name="_______________________lbc14" localSheetId="0" hidden="1">#REF!</definedName>
    <definedName name="_______________________lbc14" hidden="1">#REF!</definedName>
    <definedName name="_______________________lbc15" localSheetId="0" hidden="1">#REF!</definedName>
    <definedName name="_______________________lbc15" hidden="1">#REF!</definedName>
    <definedName name="_______________________lbc16" localSheetId="0" hidden="1">#REF!</definedName>
    <definedName name="_______________________lbc16" hidden="1">#REF!</definedName>
    <definedName name="_______________________lbc17" localSheetId="0" hidden="1">#REF!</definedName>
    <definedName name="_______________________lbc17" hidden="1">#REF!</definedName>
    <definedName name="_______________________lbc18" localSheetId="0" hidden="1">#REF!</definedName>
    <definedName name="_______________________lbc18" hidden="1">#REF!</definedName>
    <definedName name="_______________________lbc19" localSheetId="0" hidden="1">#REF!</definedName>
    <definedName name="_______________________lbc19" hidden="1">#REF!</definedName>
    <definedName name="_______________________lbc2" localSheetId="0" hidden="1">#REF!</definedName>
    <definedName name="_______________________lbc2" hidden="1">#REF!</definedName>
    <definedName name="_______________________lbc20" localSheetId="0" hidden="1">#REF!</definedName>
    <definedName name="_______________________lbc20" hidden="1">#REF!</definedName>
    <definedName name="_______________________lbc21" localSheetId="0" hidden="1">#REF!</definedName>
    <definedName name="_______________________lbc21" hidden="1">#REF!</definedName>
    <definedName name="_______________________lbc22" localSheetId="0" hidden="1">#REF!</definedName>
    <definedName name="_______________________lbc22" hidden="1">#REF!</definedName>
    <definedName name="_______________________lbc23" localSheetId="0" hidden="1">#REF!</definedName>
    <definedName name="_______________________lbc23" hidden="1">#REF!</definedName>
    <definedName name="_______________________lbc24" localSheetId="0" hidden="1">#REF!</definedName>
    <definedName name="_______________________lbc24" hidden="1">#REF!</definedName>
    <definedName name="_______________________lbc25" localSheetId="0" hidden="1">#REF!</definedName>
    <definedName name="_______________________lbc25" hidden="1">#REF!</definedName>
    <definedName name="_______________________lbc26" localSheetId="0" hidden="1">#REF!</definedName>
    <definedName name="_______________________lbc26" hidden="1">#REF!</definedName>
    <definedName name="_______________________lbc27" localSheetId="0" hidden="1">#REF!</definedName>
    <definedName name="_______________________lbc27" hidden="1">#REF!</definedName>
    <definedName name="_______________________lbc28" localSheetId="0" hidden="1">#REF!</definedName>
    <definedName name="_______________________lbc28" hidden="1">#REF!</definedName>
    <definedName name="_______________________lbc29" localSheetId="0" hidden="1">#REF!</definedName>
    <definedName name="_______________________lbc29" hidden="1">#REF!</definedName>
    <definedName name="_______________________lbc3" localSheetId="0" hidden="1">#REF!</definedName>
    <definedName name="_______________________lbc3" hidden="1">#REF!</definedName>
    <definedName name="_______________________lbc31" localSheetId="0" hidden="1">#REF!</definedName>
    <definedName name="_______________________lbc31" hidden="1">#REF!</definedName>
    <definedName name="_______________________lbc32" localSheetId="0" hidden="1">#REF!</definedName>
    <definedName name="_______________________lbc32" hidden="1">#REF!</definedName>
    <definedName name="_______________________lbc4" localSheetId="0" hidden="1">#REF!</definedName>
    <definedName name="_______________________lbc4" hidden="1">#REF!</definedName>
    <definedName name="_______________________lbc5" localSheetId="0" hidden="1">#REF!</definedName>
    <definedName name="_______________________lbc5" hidden="1">#REF!</definedName>
    <definedName name="_______________________lbc6" localSheetId="0" hidden="1">#REF!</definedName>
    <definedName name="_______________________lbc6" hidden="1">#REF!</definedName>
    <definedName name="_______________________lbc7" localSheetId="0" hidden="1">#REF!</definedName>
    <definedName name="_______________________lbc7" hidden="1">#REF!</definedName>
    <definedName name="_______________________lbc8" localSheetId="0" hidden="1">#REF!</definedName>
    <definedName name="_______________________lbc8" hidden="1">#REF!</definedName>
    <definedName name="_______________________lbc9" localSheetId="0" hidden="1">#REF!</definedName>
    <definedName name="_______________________lbc9" hidden="1">#REF!</definedName>
    <definedName name="_______________________ld26" localSheetId="0" hidden="1">#REF!</definedName>
    <definedName name="_______________________ld26" hidden="1">#REF!</definedName>
    <definedName name="_______________________ld31" localSheetId="0" hidden="1">#REF!</definedName>
    <definedName name="_______________________ld31" hidden="1">#REF!</definedName>
    <definedName name="_______________________le31" localSheetId="0" hidden="1">#REF!</definedName>
    <definedName name="_______________________le31" hidden="1">#REF!</definedName>
    <definedName name="_______________________lf31" localSheetId="0" hidden="1">#REF!</definedName>
    <definedName name="_______________________lf31" hidden="1">#REF!</definedName>
    <definedName name="_______________________x10" localSheetId="0" hidden="1">#REF!</definedName>
    <definedName name="_______________________x10" hidden="1">#REF!</definedName>
    <definedName name="_______________________x11" localSheetId="0" hidden="1">#REF!</definedName>
    <definedName name="_______________________x11" hidden="1">#REF!</definedName>
    <definedName name="_______________________x12" localSheetId="0" hidden="1">#REF!</definedName>
    <definedName name="_______________________x12" hidden="1">#REF!</definedName>
    <definedName name="_______________________x13" localSheetId="0" hidden="1">#REF!</definedName>
    <definedName name="_______________________x13" hidden="1">#REF!</definedName>
    <definedName name="_______________________x14" localSheetId="0" hidden="1">#REF!</definedName>
    <definedName name="_______________________x14" hidden="1">#REF!</definedName>
    <definedName name="_______________________x15" localSheetId="0" hidden="1">#REF!</definedName>
    <definedName name="_______________________x15" hidden="1">#REF!</definedName>
    <definedName name="_______________________x16" localSheetId="0" hidden="1">#REF!</definedName>
    <definedName name="_______________________x16" hidden="1">#REF!</definedName>
    <definedName name="_______________________x17" localSheetId="0" hidden="1">#REF!</definedName>
    <definedName name="_______________________x17" hidden="1">#REF!</definedName>
    <definedName name="_______________________x18" localSheetId="0" hidden="1">#REF!</definedName>
    <definedName name="_______________________x18" hidden="1">#REF!</definedName>
    <definedName name="_______________________x19" localSheetId="0" hidden="1">#REF!</definedName>
    <definedName name="_______________________x19" hidden="1">#REF!</definedName>
    <definedName name="_______________________x20" localSheetId="0" hidden="1">#REF!</definedName>
    <definedName name="_______________________x20" hidden="1">#REF!</definedName>
    <definedName name="_______________________x21" localSheetId="0" hidden="1">#REF!</definedName>
    <definedName name="_______________________x21" hidden="1">#REF!</definedName>
    <definedName name="_______________________x22" localSheetId="0" hidden="1">#REF!</definedName>
    <definedName name="_______________________x22" hidden="1">#REF!</definedName>
    <definedName name="_______________________x23" localSheetId="0" hidden="1">#REF!</definedName>
    <definedName name="_______________________x23" hidden="1">#REF!</definedName>
    <definedName name="_______________________x24" localSheetId="0" hidden="1">#REF!</definedName>
    <definedName name="_______________________x24" hidden="1">#REF!</definedName>
    <definedName name="_______________________x25" localSheetId="0" hidden="1">#REF!</definedName>
    <definedName name="_______________________x25" hidden="1">#REF!</definedName>
    <definedName name="_______________________x28" localSheetId="0" hidden="1">#REF!</definedName>
    <definedName name="_______________________x28" hidden="1">#REF!</definedName>
    <definedName name="_______________________x29" localSheetId="0" hidden="1">#REF!</definedName>
    <definedName name="_______________________x29" hidden="1">#REF!</definedName>
    <definedName name="_______________________x32" localSheetId="0" hidden="1">#REF!</definedName>
    <definedName name="_______________________x32" hidden="1">#REF!</definedName>
    <definedName name="_______________________x4" localSheetId="0" hidden="1">#REF!</definedName>
    <definedName name="_______________________x4" hidden="1">#REF!</definedName>
    <definedName name="_______________________x5" localSheetId="0" hidden="1">#REF!</definedName>
    <definedName name="_______________________x5" hidden="1">#REF!</definedName>
    <definedName name="_______________________x6" localSheetId="0" hidden="1">#REF!</definedName>
    <definedName name="_______________________x6" hidden="1">#REF!</definedName>
    <definedName name="_______________________x7" localSheetId="0" hidden="1">#REF!</definedName>
    <definedName name="_______________________x7" hidden="1">#REF!</definedName>
    <definedName name="_______________________x8" localSheetId="0" hidden="1">#REF!</definedName>
    <definedName name="_______________________x8" hidden="1">#REF!</definedName>
    <definedName name="_______________________x9" localSheetId="0" hidden="1">#REF!</definedName>
    <definedName name="_______________________x9" hidden="1">#REF!</definedName>
    <definedName name="______________________INV12">#REF!</definedName>
    <definedName name="______________________INV13">#REF!</definedName>
    <definedName name="______________________inv2">#REF!</definedName>
    <definedName name="______________________la29" localSheetId="27" hidden="1">#REF!</definedName>
    <definedName name="______________________la29" localSheetId="0" hidden="1">#REF!</definedName>
    <definedName name="______________________la29" hidden="1">#REF!</definedName>
    <definedName name="______________________la3" localSheetId="27" hidden="1">#REF!</definedName>
    <definedName name="______________________la3" localSheetId="0" hidden="1">#REF!</definedName>
    <definedName name="______________________la3" hidden="1">#REF!</definedName>
    <definedName name="______________________la31" localSheetId="27" hidden="1">#REF!</definedName>
    <definedName name="______________________la31" localSheetId="0" hidden="1">#REF!</definedName>
    <definedName name="______________________la31" hidden="1">#REF!</definedName>
    <definedName name="______________________la32" localSheetId="0" hidden="1">#REF!</definedName>
    <definedName name="______________________la32" hidden="1">#REF!</definedName>
    <definedName name="______________________la4" localSheetId="0" hidden="1">#REF!</definedName>
    <definedName name="______________________la4" hidden="1">#REF!</definedName>
    <definedName name="______________________la5" localSheetId="0" hidden="1">#REF!</definedName>
    <definedName name="______________________la5" hidden="1">#REF!</definedName>
    <definedName name="______________________la6" localSheetId="0" hidden="1">#REF!</definedName>
    <definedName name="______________________la6" hidden="1">#REF!</definedName>
    <definedName name="______________________la7" localSheetId="0" hidden="1">#REF!</definedName>
    <definedName name="______________________la7" hidden="1">#REF!</definedName>
    <definedName name="______________________la8" localSheetId="0" hidden="1">#REF!</definedName>
    <definedName name="______________________la8" hidden="1">#REF!</definedName>
    <definedName name="______________________la9" localSheetId="0" hidden="1">#REF!</definedName>
    <definedName name="______________________la9" hidden="1">#REF!</definedName>
    <definedName name="______________________lb1" localSheetId="0" hidden="1">#REF!</definedName>
    <definedName name="______________________lb1" hidden="1">#REF!</definedName>
    <definedName name="______________________lb10" localSheetId="0" hidden="1">#REF!</definedName>
    <definedName name="______________________lb10" hidden="1">#REF!</definedName>
    <definedName name="______________________lb11" localSheetId="0" hidden="1">#REF!</definedName>
    <definedName name="______________________lb11" hidden="1">#REF!</definedName>
    <definedName name="______________________lb12" localSheetId="0" hidden="1">#REF!</definedName>
    <definedName name="______________________lb12" hidden="1">#REF!</definedName>
    <definedName name="______________________lb13" localSheetId="0" hidden="1">#REF!</definedName>
    <definedName name="______________________lb13" hidden="1">#REF!</definedName>
    <definedName name="______________________lb14" localSheetId="0" hidden="1">#REF!</definedName>
    <definedName name="______________________lb14" hidden="1">#REF!</definedName>
    <definedName name="______________________lb15" localSheetId="0" hidden="1">#REF!</definedName>
    <definedName name="______________________lb15" hidden="1">#REF!</definedName>
    <definedName name="______________________lb16" localSheetId="0" hidden="1">#REF!</definedName>
    <definedName name="______________________lb16" hidden="1">#REF!</definedName>
    <definedName name="______________________lb17" localSheetId="0" hidden="1">#REF!</definedName>
    <definedName name="______________________lb17" hidden="1">#REF!</definedName>
    <definedName name="______________________lb18" localSheetId="0" hidden="1">#REF!</definedName>
    <definedName name="______________________lb18" hidden="1">#REF!</definedName>
    <definedName name="______________________lb19" localSheetId="0" hidden="1">#REF!</definedName>
    <definedName name="______________________lb19" hidden="1">#REF!</definedName>
    <definedName name="______________________lb2" localSheetId="0" hidden="1">#REF!</definedName>
    <definedName name="______________________lb2" hidden="1">#REF!</definedName>
    <definedName name="______________________lb20" localSheetId="0" hidden="1">#REF!</definedName>
    <definedName name="______________________lb20" hidden="1">#REF!</definedName>
    <definedName name="______________________lb21" localSheetId="0" hidden="1">#REF!</definedName>
    <definedName name="______________________lb21" hidden="1">#REF!</definedName>
    <definedName name="______________________lb22" localSheetId="0" hidden="1">#REF!</definedName>
    <definedName name="______________________lb22" hidden="1">#REF!</definedName>
    <definedName name="______________________lb23" localSheetId="0" hidden="1">#REF!</definedName>
    <definedName name="______________________lb23" hidden="1">#REF!</definedName>
    <definedName name="______________________lb24" localSheetId="0" hidden="1">#REF!</definedName>
    <definedName name="______________________lb24" hidden="1">#REF!</definedName>
    <definedName name="______________________lb25" localSheetId="0" hidden="1">#REF!</definedName>
    <definedName name="______________________lb25" hidden="1">#REF!</definedName>
    <definedName name="______________________lb27" localSheetId="0" hidden="1">#REF!</definedName>
    <definedName name="______________________lb27" hidden="1">#REF!</definedName>
    <definedName name="______________________lb28" localSheetId="0" hidden="1">#REF!</definedName>
    <definedName name="______________________lb28" hidden="1">#REF!</definedName>
    <definedName name="______________________lb29" localSheetId="0" hidden="1">#REF!</definedName>
    <definedName name="______________________lb29" hidden="1">#REF!</definedName>
    <definedName name="______________________lb3" localSheetId="0" hidden="1">#REF!</definedName>
    <definedName name="______________________lb3" hidden="1">#REF!</definedName>
    <definedName name="______________________lb30" localSheetId="0" hidden="1">#REF!</definedName>
    <definedName name="______________________lb30" hidden="1">#REF!</definedName>
    <definedName name="______________________lb31" localSheetId="0" hidden="1">#REF!</definedName>
    <definedName name="______________________lb31" hidden="1">#REF!</definedName>
    <definedName name="______________________lb32" localSheetId="0" hidden="1">#REF!</definedName>
    <definedName name="______________________lb32" hidden="1">#REF!</definedName>
    <definedName name="______________________lb4" localSheetId="0" hidden="1">#REF!</definedName>
    <definedName name="______________________lb4" hidden="1">#REF!</definedName>
    <definedName name="______________________lb5" localSheetId="0" hidden="1">#REF!</definedName>
    <definedName name="______________________lb5" hidden="1">#REF!</definedName>
    <definedName name="______________________lb6" localSheetId="0" hidden="1">#REF!</definedName>
    <definedName name="______________________lb6" hidden="1">#REF!</definedName>
    <definedName name="______________________lb7" localSheetId="0" hidden="1">#REF!</definedName>
    <definedName name="______________________lb7" hidden="1">#REF!</definedName>
    <definedName name="______________________lb8" localSheetId="0" hidden="1">#REF!</definedName>
    <definedName name="______________________lb8" hidden="1">#REF!</definedName>
    <definedName name="______________________lb9" localSheetId="0" hidden="1">#REF!</definedName>
    <definedName name="______________________lb9" hidden="1">#REF!</definedName>
    <definedName name="______________________lbc1" localSheetId="0" hidden="1">#REF!</definedName>
    <definedName name="______________________lbc1" hidden="1">#REF!</definedName>
    <definedName name="______________________lbc10" localSheetId="0" hidden="1">#REF!</definedName>
    <definedName name="______________________lbc10" hidden="1">#REF!</definedName>
    <definedName name="______________________lbc11" localSheetId="0" hidden="1">#REF!</definedName>
    <definedName name="______________________lbc11" hidden="1">#REF!</definedName>
    <definedName name="______________________lbc12" localSheetId="0" hidden="1">#REF!</definedName>
    <definedName name="______________________lbc12" hidden="1">#REF!</definedName>
    <definedName name="______________________lbc13" localSheetId="0" hidden="1">#REF!</definedName>
    <definedName name="______________________lbc13" hidden="1">#REF!</definedName>
    <definedName name="______________________lbc14" localSheetId="0" hidden="1">#REF!</definedName>
    <definedName name="______________________lbc14" hidden="1">#REF!</definedName>
    <definedName name="______________________lbc15" localSheetId="0" hidden="1">#REF!</definedName>
    <definedName name="______________________lbc15" hidden="1">#REF!</definedName>
    <definedName name="______________________lbc16" localSheetId="0" hidden="1">#REF!</definedName>
    <definedName name="______________________lbc16" hidden="1">#REF!</definedName>
    <definedName name="______________________lbc17" localSheetId="0" hidden="1">#REF!</definedName>
    <definedName name="______________________lbc17" hidden="1">#REF!</definedName>
    <definedName name="______________________lbc18" localSheetId="0" hidden="1">#REF!</definedName>
    <definedName name="______________________lbc18" hidden="1">#REF!</definedName>
    <definedName name="______________________lbc19" localSheetId="0" hidden="1">#REF!</definedName>
    <definedName name="______________________lbc19" hidden="1">#REF!</definedName>
    <definedName name="______________________lbc2" localSheetId="0" hidden="1">#REF!</definedName>
    <definedName name="______________________lbc2" hidden="1">#REF!</definedName>
    <definedName name="______________________lbc20" localSheetId="0" hidden="1">#REF!</definedName>
    <definedName name="______________________lbc20" hidden="1">#REF!</definedName>
    <definedName name="______________________lbc21" localSheetId="0" hidden="1">#REF!</definedName>
    <definedName name="______________________lbc21" hidden="1">#REF!</definedName>
    <definedName name="______________________lbc22" localSheetId="0" hidden="1">#REF!</definedName>
    <definedName name="______________________lbc22" hidden="1">#REF!</definedName>
    <definedName name="______________________lbc23" localSheetId="0" hidden="1">#REF!</definedName>
    <definedName name="______________________lbc23" hidden="1">#REF!</definedName>
    <definedName name="______________________lbc24" localSheetId="0" hidden="1">#REF!</definedName>
    <definedName name="______________________lbc24" hidden="1">#REF!</definedName>
    <definedName name="______________________lbc25" localSheetId="0" hidden="1">#REF!</definedName>
    <definedName name="______________________lbc25" hidden="1">#REF!</definedName>
    <definedName name="______________________lbc26" localSheetId="0" hidden="1">#REF!</definedName>
    <definedName name="______________________lbc26" hidden="1">#REF!</definedName>
    <definedName name="______________________lbc27" localSheetId="0" hidden="1">#REF!</definedName>
    <definedName name="______________________lbc27" hidden="1">#REF!</definedName>
    <definedName name="______________________lbc28" localSheetId="0" hidden="1">#REF!</definedName>
    <definedName name="______________________lbc28" hidden="1">#REF!</definedName>
    <definedName name="______________________lbc29" localSheetId="0" hidden="1">#REF!</definedName>
    <definedName name="______________________lbc29" hidden="1">#REF!</definedName>
    <definedName name="______________________lbc3" localSheetId="0" hidden="1">#REF!</definedName>
    <definedName name="______________________lbc3" hidden="1">#REF!</definedName>
    <definedName name="______________________lbc31" localSheetId="0" hidden="1">#REF!</definedName>
    <definedName name="______________________lbc31" hidden="1">#REF!</definedName>
    <definedName name="______________________lbc32" localSheetId="0" hidden="1">#REF!</definedName>
    <definedName name="______________________lbc32" hidden="1">#REF!</definedName>
    <definedName name="______________________lbc4" localSheetId="0" hidden="1">#REF!</definedName>
    <definedName name="______________________lbc4" hidden="1">#REF!</definedName>
    <definedName name="______________________lbc5" localSheetId="0" hidden="1">#REF!</definedName>
    <definedName name="______________________lbc5" hidden="1">#REF!</definedName>
    <definedName name="______________________lbc6" localSheetId="0" hidden="1">#REF!</definedName>
    <definedName name="______________________lbc6" hidden="1">#REF!</definedName>
    <definedName name="______________________lbc7" localSheetId="0" hidden="1">#REF!</definedName>
    <definedName name="______________________lbc7" hidden="1">#REF!</definedName>
    <definedName name="______________________lbc8" localSheetId="0" hidden="1">#REF!</definedName>
    <definedName name="______________________lbc8" hidden="1">#REF!</definedName>
    <definedName name="______________________lbc9" localSheetId="0" hidden="1">#REF!</definedName>
    <definedName name="______________________lbc9" hidden="1">#REF!</definedName>
    <definedName name="______________________ld26" localSheetId="0" hidden="1">#REF!</definedName>
    <definedName name="______________________ld26" hidden="1">#REF!</definedName>
    <definedName name="______________________ld31" localSheetId="0" hidden="1">#REF!</definedName>
    <definedName name="______________________ld31" hidden="1">#REF!</definedName>
    <definedName name="______________________le31" localSheetId="0" hidden="1">#REF!</definedName>
    <definedName name="______________________le31" hidden="1">#REF!</definedName>
    <definedName name="______________________lf31" localSheetId="0" hidden="1">#REF!</definedName>
    <definedName name="______________________lf31" hidden="1">#REF!</definedName>
    <definedName name="______________________x10" localSheetId="0" hidden="1">#REF!</definedName>
    <definedName name="______________________x10" hidden="1">#REF!</definedName>
    <definedName name="______________________x11" localSheetId="0" hidden="1">#REF!</definedName>
    <definedName name="______________________x11" hidden="1">#REF!</definedName>
    <definedName name="______________________x12" localSheetId="0" hidden="1">#REF!</definedName>
    <definedName name="______________________x12" hidden="1">#REF!</definedName>
    <definedName name="______________________x13" localSheetId="0" hidden="1">#REF!</definedName>
    <definedName name="______________________x13" hidden="1">#REF!</definedName>
    <definedName name="______________________x14" localSheetId="0" hidden="1">#REF!</definedName>
    <definedName name="______________________x14" hidden="1">#REF!</definedName>
    <definedName name="______________________x15" localSheetId="0" hidden="1">#REF!</definedName>
    <definedName name="______________________x15" hidden="1">#REF!</definedName>
    <definedName name="______________________x16" localSheetId="0" hidden="1">#REF!</definedName>
    <definedName name="______________________x16" hidden="1">#REF!</definedName>
    <definedName name="______________________x17" localSheetId="0" hidden="1">#REF!</definedName>
    <definedName name="______________________x17" hidden="1">#REF!</definedName>
    <definedName name="______________________x18" localSheetId="0" hidden="1">#REF!</definedName>
    <definedName name="______________________x18" hidden="1">#REF!</definedName>
    <definedName name="______________________x19" localSheetId="0" hidden="1">#REF!</definedName>
    <definedName name="______________________x19" hidden="1">#REF!</definedName>
    <definedName name="______________________x20" localSheetId="0" hidden="1">#REF!</definedName>
    <definedName name="______________________x20" hidden="1">#REF!</definedName>
    <definedName name="______________________x21" localSheetId="0" hidden="1">#REF!</definedName>
    <definedName name="______________________x21" hidden="1">#REF!</definedName>
    <definedName name="______________________x22" localSheetId="0" hidden="1">#REF!</definedName>
    <definedName name="______________________x22" hidden="1">#REF!</definedName>
    <definedName name="______________________x23" localSheetId="0" hidden="1">#REF!</definedName>
    <definedName name="______________________x23" hidden="1">#REF!</definedName>
    <definedName name="______________________x24" localSheetId="0" hidden="1">#REF!</definedName>
    <definedName name="______________________x24" hidden="1">#REF!</definedName>
    <definedName name="______________________x25" localSheetId="0" hidden="1">#REF!</definedName>
    <definedName name="______________________x25" hidden="1">#REF!</definedName>
    <definedName name="______________________x28" localSheetId="0" hidden="1">#REF!</definedName>
    <definedName name="______________________x28" hidden="1">#REF!</definedName>
    <definedName name="______________________x29" localSheetId="0" hidden="1">#REF!</definedName>
    <definedName name="______________________x29" hidden="1">#REF!</definedName>
    <definedName name="______________________x32" localSheetId="0" hidden="1">#REF!</definedName>
    <definedName name="______________________x32" hidden="1">#REF!</definedName>
    <definedName name="______________________x4" localSheetId="0" hidden="1">#REF!</definedName>
    <definedName name="______________________x4" hidden="1">#REF!</definedName>
    <definedName name="______________________x5" localSheetId="0" hidden="1">#REF!</definedName>
    <definedName name="______________________x5" hidden="1">#REF!</definedName>
    <definedName name="______________________x6" localSheetId="0" hidden="1">#REF!</definedName>
    <definedName name="______________________x6" hidden="1">#REF!</definedName>
    <definedName name="______________________x7" localSheetId="0" hidden="1">#REF!</definedName>
    <definedName name="______________________x7" hidden="1">#REF!</definedName>
    <definedName name="______________________x8" localSheetId="0" hidden="1">#REF!</definedName>
    <definedName name="______________________x8" hidden="1">#REF!</definedName>
    <definedName name="______________________x9" localSheetId="0" hidden="1">#REF!</definedName>
    <definedName name="______________________x9" hidden="1">#REF!</definedName>
    <definedName name="_____________________INV12">#REF!</definedName>
    <definedName name="_____________________INV13">#REF!</definedName>
    <definedName name="_____________________inv2">#REF!</definedName>
    <definedName name="_____________________la29" localSheetId="27" hidden="1">#REF!</definedName>
    <definedName name="_____________________la29" localSheetId="0" hidden="1">#REF!</definedName>
    <definedName name="_____________________la29" hidden="1">#REF!</definedName>
    <definedName name="_____________________la3" localSheetId="27" hidden="1">#REF!</definedName>
    <definedName name="_____________________la3" localSheetId="0" hidden="1">#REF!</definedName>
    <definedName name="_____________________la3" hidden="1">#REF!</definedName>
    <definedName name="_____________________la31" localSheetId="27" hidden="1">#REF!</definedName>
    <definedName name="_____________________la31" localSheetId="0" hidden="1">#REF!</definedName>
    <definedName name="_____________________la31" hidden="1">#REF!</definedName>
    <definedName name="_____________________la32" localSheetId="0" hidden="1">#REF!</definedName>
    <definedName name="_____________________la32" hidden="1">#REF!</definedName>
    <definedName name="_____________________la4" localSheetId="0" hidden="1">#REF!</definedName>
    <definedName name="_____________________la4" hidden="1">#REF!</definedName>
    <definedName name="_____________________la5" localSheetId="0" hidden="1">#REF!</definedName>
    <definedName name="_____________________la5" hidden="1">#REF!</definedName>
    <definedName name="_____________________la6" localSheetId="0" hidden="1">#REF!</definedName>
    <definedName name="_____________________la6" hidden="1">#REF!</definedName>
    <definedName name="_____________________la7" localSheetId="0" hidden="1">#REF!</definedName>
    <definedName name="_____________________la7" hidden="1">#REF!</definedName>
    <definedName name="_____________________la8" localSheetId="0" hidden="1">#REF!</definedName>
    <definedName name="_____________________la8" hidden="1">#REF!</definedName>
    <definedName name="_____________________la9" localSheetId="0" hidden="1">#REF!</definedName>
    <definedName name="_____________________la9" hidden="1">#REF!</definedName>
    <definedName name="_____________________lb1" localSheetId="0" hidden="1">#REF!</definedName>
    <definedName name="_____________________lb1" hidden="1">#REF!</definedName>
    <definedName name="_____________________lb10" localSheetId="0" hidden="1">#REF!</definedName>
    <definedName name="_____________________lb10" hidden="1">#REF!</definedName>
    <definedName name="_____________________lb11" localSheetId="0" hidden="1">#REF!</definedName>
    <definedName name="_____________________lb11" hidden="1">#REF!</definedName>
    <definedName name="_____________________lb12" localSheetId="0" hidden="1">#REF!</definedName>
    <definedName name="_____________________lb12" hidden="1">#REF!</definedName>
    <definedName name="_____________________lb13" localSheetId="0" hidden="1">#REF!</definedName>
    <definedName name="_____________________lb13" hidden="1">#REF!</definedName>
    <definedName name="_____________________lb14" localSheetId="0" hidden="1">#REF!</definedName>
    <definedName name="_____________________lb14" hidden="1">#REF!</definedName>
    <definedName name="_____________________lb15" localSheetId="0" hidden="1">#REF!</definedName>
    <definedName name="_____________________lb15" hidden="1">#REF!</definedName>
    <definedName name="_____________________lb16" localSheetId="0" hidden="1">#REF!</definedName>
    <definedName name="_____________________lb16" hidden="1">#REF!</definedName>
    <definedName name="_____________________lb17" localSheetId="0" hidden="1">#REF!</definedName>
    <definedName name="_____________________lb17" hidden="1">#REF!</definedName>
    <definedName name="_____________________lb18" localSheetId="0" hidden="1">#REF!</definedName>
    <definedName name="_____________________lb18" hidden="1">#REF!</definedName>
    <definedName name="_____________________lb19" localSheetId="0" hidden="1">#REF!</definedName>
    <definedName name="_____________________lb19" hidden="1">#REF!</definedName>
    <definedName name="_____________________lb2" localSheetId="0" hidden="1">#REF!</definedName>
    <definedName name="_____________________lb2" hidden="1">#REF!</definedName>
    <definedName name="_____________________lb20" localSheetId="0" hidden="1">#REF!</definedName>
    <definedName name="_____________________lb20" hidden="1">#REF!</definedName>
    <definedName name="_____________________lb21" localSheetId="0" hidden="1">#REF!</definedName>
    <definedName name="_____________________lb21" hidden="1">#REF!</definedName>
    <definedName name="_____________________lb22" localSheetId="0" hidden="1">#REF!</definedName>
    <definedName name="_____________________lb22" hidden="1">#REF!</definedName>
    <definedName name="_____________________lb23" localSheetId="0" hidden="1">#REF!</definedName>
    <definedName name="_____________________lb23" hidden="1">#REF!</definedName>
    <definedName name="_____________________lb24" localSheetId="0" hidden="1">#REF!</definedName>
    <definedName name="_____________________lb24" hidden="1">#REF!</definedName>
    <definedName name="_____________________lb25" localSheetId="0" hidden="1">#REF!</definedName>
    <definedName name="_____________________lb25" hidden="1">#REF!</definedName>
    <definedName name="_____________________lb27" localSheetId="0" hidden="1">#REF!</definedName>
    <definedName name="_____________________lb27" hidden="1">#REF!</definedName>
    <definedName name="_____________________lb28" localSheetId="0" hidden="1">#REF!</definedName>
    <definedName name="_____________________lb28" hidden="1">#REF!</definedName>
    <definedName name="_____________________lb29" localSheetId="0" hidden="1">#REF!</definedName>
    <definedName name="_____________________lb29" hidden="1">#REF!</definedName>
    <definedName name="_____________________lb3" localSheetId="0" hidden="1">#REF!</definedName>
    <definedName name="_____________________lb3" hidden="1">#REF!</definedName>
    <definedName name="_____________________lb30" localSheetId="0" hidden="1">#REF!</definedName>
    <definedName name="_____________________lb30" hidden="1">#REF!</definedName>
    <definedName name="_____________________lb31" localSheetId="0" hidden="1">#REF!</definedName>
    <definedName name="_____________________lb31" hidden="1">#REF!</definedName>
    <definedName name="_____________________lb32" localSheetId="0" hidden="1">#REF!</definedName>
    <definedName name="_____________________lb32" hidden="1">#REF!</definedName>
    <definedName name="_____________________lb4" localSheetId="0" hidden="1">#REF!</definedName>
    <definedName name="_____________________lb4" hidden="1">#REF!</definedName>
    <definedName name="_____________________lb5" localSheetId="0" hidden="1">#REF!</definedName>
    <definedName name="_____________________lb5" hidden="1">#REF!</definedName>
    <definedName name="_____________________lb6" localSheetId="0" hidden="1">#REF!</definedName>
    <definedName name="_____________________lb6" hidden="1">#REF!</definedName>
    <definedName name="_____________________lb7" localSheetId="0" hidden="1">#REF!</definedName>
    <definedName name="_____________________lb7" hidden="1">#REF!</definedName>
    <definedName name="_____________________lb8" localSheetId="0" hidden="1">#REF!</definedName>
    <definedName name="_____________________lb8" hidden="1">#REF!</definedName>
    <definedName name="_____________________lb9" localSheetId="0" hidden="1">#REF!</definedName>
    <definedName name="_____________________lb9" hidden="1">#REF!</definedName>
    <definedName name="_____________________lbc1" localSheetId="0" hidden="1">#REF!</definedName>
    <definedName name="_____________________lbc1" hidden="1">#REF!</definedName>
    <definedName name="_____________________lbc10" localSheetId="0" hidden="1">#REF!</definedName>
    <definedName name="_____________________lbc10" hidden="1">#REF!</definedName>
    <definedName name="_____________________lbc11" localSheetId="0" hidden="1">#REF!</definedName>
    <definedName name="_____________________lbc11" hidden="1">#REF!</definedName>
    <definedName name="_____________________lbc12" localSheetId="0" hidden="1">#REF!</definedName>
    <definedName name="_____________________lbc12" hidden="1">#REF!</definedName>
    <definedName name="_____________________lbc13" localSheetId="0" hidden="1">#REF!</definedName>
    <definedName name="_____________________lbc13" hidden="1">#REF!</definedName>
    <definedName name="_____________________lbc14" localSheetId="0" hidden="1">#REF!</definedName>
    <definedName name="_____________________lbc14" hidden="1">#REF!</definedName>
    <definedName name="_____________________lbc15" localSheetId="0" hidden="1">#REF!</definedName>
    <definedName name="_____________________lbc15" hidden="1">#REF!</definedName>
    <definedName name="_____________________lbc16" localSheetId="0" hidden="1">#REF!</definedName>
    <definedName name="_____________________lbc16" hidden="1">#REF!</definedName>
    <definedName name="_____________________lbc17" localSheetId="0" hidden="1">#REF!</definedName>
    <definedName name="_____________________lbc17" hidden="1">#REF!</definedName>
    <definedName name="_____________________lbc18" localSheetId="0" hidden="1">#REF!</definedName>
    <definedName name="_____________________lbc18" hidden="1">#REF!</definedName>
    <definedName name="_____________________lbc19" localSheetId="0" hidden="1">#REF!</definedName>
    <definedName name="_____________________lbc19" hidden="1">#REF!</definedName>
    <definedName name="_____________________lbc2" localSheetId="0" hidden="1">#REF!</definedName>
    <definedName name="_____________________lbc2" hidden="1">#REF!</definedName>
    <definedName name="_____________________lbc20" localSheetId="0" hidden="1">#REF!</definedName>
    <definedName name="_____________________lbc20" hidden="1">#REF!</definedName>
    <definedName name="_____________________lbc21" localSheetId="0" hidden="1">#REF!</definedName>
    <definedName name="_____________________lbc21" hidden="1">#REF!</definedName>
    <definedName name="_____________________lbc22" localSheetId="0" hidden="1">#REF!</definedName>
    <definedName name="_____________________lbc22" hidden="1">#REF!</definedName>
    <definedName name="_____________________lbc23" localSheetId="0" hidden="1">#REF!</definedName>
    <definedName name="_____________________lbc23" hidden="1">#REF!</definedName>
    <definedName name="_____________________lbc24" localSheetId="0" hidden="1">#REF!</definedName>
    <definedName name="_____________________lbc24" hidden="1">#REF!</definedName>
    <definedName name="_____________________lbc25" localSheetId="0" hidden="1">#REF!</definedName>
    <definedName name="_____________________lbc25" hidden="1">#REF!</definedName>
    <definedName name="_____________________lbc26" localSheetId="0" hidden="1">#REF!</definedName>
    <definedName name="_____________________lbc26" hidden="1">#REF!</definedName>
    <definedName name="_____________________lbc27" localSheetId="0" hidden="1">#REF!</definedName>
    <definedName name="_____________________lbc27" hidden="1">#REF!</definedName>
    <definedName name="_____________________lbc28" localSheetId="0" hidden="1">#REF!</definedName>
    <definedName name="_____________________lbc28" hidden="1">#REF!</definedName>
    <definedName name="_____________________lbc29" localSheetId="0" hidden="1">#REF!</definedName>
    <definedName name="_____________________lbc29" hidden="1">#REF!</definedName>
    <definedName name="_____________________lbc3" localSheetId="0" hidden="1">#REF!</definedName>
    <definedName name="_____________________lbc3" hidden="1">#REF!</definedName>
    <definedName name="_____________________lbc31" localSheetId="0" hidden="1">#REF!</definedName>
    <definedName name="_____________________lbc31" hidden="1">#REF!</definedName>
    <definedName name="_____________________lbc32" localSheetId="0" hidden="1">#REF!</definedName>
    <definedName name="_____________________lbc32" hidden="1">#REF!</definedName>
    <definedName name="_____________________lbc4" localSheetId="0" hidden="1">#REF!</definedName>
    <definedName name="_____________________lbc4" hidden="1">#REF!</definedName>
    <definedName name="_____________________lbc5" localSheetId="0" hidden="1">#REF!</definedName>
    <definedName name="_____________________lbc5" hidden="1">#REF!</definedName>
    <definedName name="_____________________lbc6" localSheetId="0" hidden="1">#REF!</definedName>
    <definedName name="_____________________lbc6" hidden="1">#REF!</definedName>
    <definedName name="_____________________lbc7" localSheetId="0" hidden="1">#REF!</definedName>
    <definedName name="_____________________lbc7" hidden="1">#REF!</definedName>
    <definedName name="_____________________lbc8" localSheetId="0" hidden="1">#REF!</definedName>
    <definedName name="_____________________lbc8" hidden="1">#REF!</definedName>
    <definedName name="_____________________lbc9" localSheetId="0" hidden="1">#REF!</definedName>
    <definedName name="_____________________lbc9" hidden="1">#REF!</definedName>
    <definedName name="_____________________ld26" localSheetId="0" hidden="1">#REF!</definedName>
    <definedName name="_____________________ld26" hidden="1">#REF!</definedName>
    <definedName name="_____________________ld31" localSheetId="0" hidden="1">#REF!</definedName>
    <definedName name="_____________________ld31" hidden="1">#REF!</definedName>
    <definedName name="_____________________le31" localSheetId="0" hidden="1">#REF!</definedName>
    <definedName name="_____________________le31" hidden="1">#REF!</definedName>
    <definedName name="_____________________lf31" localSheetId="0" hidden="1">#REF!</definedName>
    <definedName name="_____________________lf31" hidden="1">#REF!</definedName>
    <definedName name="_____________________x10" localSheetId="0" hidden="1">#REF!</definedName>
    <definedName name="_____________________x10" hidden="1">#REF!</definedName>
    <definedName name="_____________________x11" localSheetId="0" hidden="1">#REF!</definedName>
    <definedName name="_____________________x11" hidden="1">#REF!</definedName>
    <definedName name="_____________________x12" localSheetId="0" hidden="1">#REF!</definedName>
    <definedName name="_____________________x12" hidden="1">#REF!</definedName>
    <definedName name="_____________________x13" localSheetId="0" hidden="1">#REF!</definedName>
    <definedName name="_____________________x13" hidden="1">#REF!</definedName>
    <definedName name="_____________________x14" localSheetId="0" hidden="1">#REF!</definedName>
    <definedName name="_____________________x14" hidden="1">#REF!</definedName>
    <definedName name="_____________________x15" localSheetId="0" hidden="1">#REF!</definedName>
    <definedName name="_____________________x15" hidden="1">#REF!</definedName>
    <definedName name="_____________________x16" localSheetId="0" hidden="1">#REF!</definedName>
    <definedName name="_____________________x16" hidden="1">#REF!</definedName>
    <definedName name="_____________________x17" localSheetId="0" hidden="1">#REF!</definedName>
    <definedName name="_____________________x17" hidden="1">#REF!</definedName>
    <definedName name="_____________________x18" localSheetId="0" hidden="1">#REF!</definedName>
    <definedName name="_____________________x18" hidden="1">#REF!</definedName>
    <definedName name="_____________________x19" localSheetId="0" hidden="1">#REF!</definedName>
    <definedName name="_____________________x19" hidden="1">#REF!</definedName>
    <definedName name="_____________________x20" localSheetId="0" hidden="1">#REF!</definedName>
    <definedName name="_____________________x20" hidden="1">#REF!</definedName>
    <definedName name="_____________________x21" localSheetId="0" hidden="1">#REF!</definedName>
    <definedName name="_____________________x21" hidden="1">#REF!</definedName>
    <definedName name="_____________________x22" localSheetId="0" hidden="1">#REF!</definedName>
    <definedName name="_____________________x22" hidden="1">#REF!</definedName>
    <definedName name="_____________________x23" localSheetId="0" hidden="1">#REF!</definedName>
    <definedName name="_____________________x23" hidden="1">#REF!</definedName>
    <definedName name="_____________________x24" localSheetId="0" hidden="1">#REF!</definedName>
    <definedName name="_____________________x24" hidden="1">#REF!</definedName>
    <definedName name="_____________________x25" localSheetId="0" hidden="1">#REF!</definedName>
    <definedName name="_____________________x25" hidden="1">#REF!</definedName>
    <definedName name="_____________________x28" localSheetId="0" hidden="1">#REF!</definedName>
    <definedName name="_____________________x28" hidden="1">#REF!</definedName>
    <definedName name="_____________________x29" localSheetId="0" hidden="1">#REF!</definedName>
    <definedName name="_____________________x29" hidden="1">#REF!</definedName>
    <definedName name="_____________________x32" localSheetId="0" hidden="1">#REF!</definedName>
    <definedName name="_____________________x32" hidden="1">#REF!</definedName>
    <definedName name="_____________________x4" localSheetId="0" hidden="1">#REF!</definedName>
    <definedName name="_____________________x4" hidden="1">#REF!</definedName>
    <definedName name="_____________________x5" localSheetId="0" hidden="1">#REF!</definedName>
    <definedName name="_____________________x5" hidden="1">#REF!</definedName>
    <definedName name="_____________________x6" localSheetId="0" hidden="1">#REF!</definedName>
    <definedName name="_____________________x6" hidden="1">#REF!</definedName>
    <definedName name="_____________________x7" localSheetId="0" hidden="1">#REF!</definedName>
    <definedName name="_____________________x7" hidden="1">#REF!</definedName>
    <definedName name="_____________________x8" localSheetId="0" hidden="1">#REF!</definedName>
    <definedName name="_____________________x8" hidden="1">#REF!</definedName>
    <definedName name="_____________________x9" localSheetId="0" hidden="1">#REF!</definedName>
    <definedName name="_____________________x9" hidden="1">#REF!</definedName>
    <definedName name="____________________INV12">#REF!</definedName>
    <definedName name="____________________INV13">#REF!</definedName>
    <definedName name="____________________inv2">#REF!</definedName>
    <definedName name="____________________la29" localSheetId="27" hidden="1">#REF!</definedName>
    <definedName name="____________________la29" localSheetId="0" hidden="1">#REF!</definedName>
    <definedName name="____________________la29" hidden="1">#REF!</definedName>
    <definedName name="____________________la3" localSheetId="27" hidden="1">#REF!</definedName>
    <definedName name="____________________la3" localSheetId="0" hidden="1">#REF!</definedName>
    <definedName name="____________________la3" hidden="1">#REF!</definedName>
    <definedName name="____________________la31" localSheetId="27" hidden="1">#REF!</definedName>
    <definedName name="____________________la31" localSheetId="0" hidden="1">#REF!</definedName>
    <definedName name="____________________la31" hidden="1">#REF!</definedName>
    <definedName name="____________________la32" localSheetId="0" hidden="1">#REF!</definedName>
    <definedName name="____________________la32" hidden="1">#REF!</definedName>
    <definedName name="____________________la4" localSheetId="0" hidden="1">#REF!</definedName>
    <definedName name="____________________la4" hidden="1">#REF!</definedName>
    <definedName name="____________________la5" localSheetId="0" hidden="1">#REF!</definedName>
    <definedName name="____________________la5" hidden="1">#REF!</definedName>
    <definedName name="____________________la6" localSheetId="0" hidden="1">#REF!</definedName>
    <definedName name="____________________la6" hidden="1">#REF!</definedName>
    <definedName name="____________________la7" localSheetId="0" hidden="1">#REF!</definedName>
    <definedName name="____________________la7" hidden="1">#REF!</definedName>
    <definedName name="____________________la8" localSheetId="0" hidden="1">#REF!</definedName>
    <definedName name="____________________la8" hidden="1">#REF!</definedName>
    <definedName name="____________________la9" localSheetId="0" hidden="1">#REF!</definedName>
    <definedName name="____________________la9" hidden="1">#REF!</definedName>
    <definedName name="____________________lb1" localSheetId="0" hidden="1">#REF!</definedName>
    <definedName name="____________________lb1" hidden="1">#REF!</definedName>
    <definedName name="____________________lb10" localSheetId="0" hidden="1">#REF!</definedName>
    <definedName name="____________________lb10" hidden="1">#REF!</definedName>
    <definedName name="____________________lb11" localSheetId="0" hidden="1">#REF!</definedName>
    <definedName name="____________________lb11" hidden="1">#REF!</definedName>
    <definedName name="____________________lb12" localSheetId="0" hidden="1">#REF!</definedName>
    <definedName name="____________________lb12" hidden="1">#REF!</definedName>
    <definedName name="____________________lb13" localSheetId="0" hidden="1">#REF!</definedName>
    <definedName name="____________________lb13" hidden="1">#REF!</definedName>
    <definedName name="____________________lb14" localSheetId="0" hidden="1">#REF!</definedName>
    <definedName name="____________________lb14" hidden="1">#REF!</definedName>
    <definedName name="____________________lb15" localSheetId="0" hidden="1">#REF!</definedName>
    <definedName name="____________________lb15" hidden="1">#REF!</definedName>
    <definedName name="____________________lb16" localSheetId="0" hidden="1">#REF!</definedName>
    <definedName name="____________________lb16" hidden="1">#REF!</definedName>
    <definedName name="____________________lb17" localSheetId="0" hidden="1">#REF!</definedName>
    <definedName name="____________________lb17" hidden="1">#REF!</definedName>
    <definedName name="____________________lb18" localSheetId="0" hidden="1">#REF!</definedName>
    <definedName name="____________________lb18" hidden="1">#REF!</definedName>
    <definedName name="____________________lb19" localSheetId="0" hidden="1">#REF!</definedName>
    <definedName name="____________________lb19" hidden="1">#REF!</definedName>
    <definedName name="____________________lb2" localSheetId="0" hidden="1">#REF!</definedName>
    <definedName name="____________________lb2" hidden="1">#REF!</definedName>
    <definedName name="____________________lb20" localSheetId="0" hidden="1">#REF!</definedName>
    <definedName name="____________________lb20" hidden="1">#REF!</definedName>
    <definedName name="____________________lb21" localSheetId="0" hidden="1">#REF!</definedName>
    <definedName name="____________________lb21" hidden="1">#REF!</definedName>
    <definedName name="____________________lb22" localSheetId="0" hidden="1">#REF!</definedName>
    <definedName name="____________________lb22" hidden="1">#REF!</definedName>
    <definedName name="____________________lb23" localSheetId="0" hidden="1">#REF!</definedName>
    <definedName name="____________________lb23" hidden="1">#REF!</definedName>
    <definedName name="____________________lb24" localSheetId="0" hidden="1">#REF!</definedName>
    <definedName name="____________________lb24" hidden="1">#REF!</definedName>
    <definedName name="____________________lb25" localSheetId="0" hidden="1">#REF!</definedName>
    <definedName name="____________________lb25" hidden="1">#REF!</definedName>
    <definedName name="____________________lb27" localSheetId="0" hidden="1">#REF!</definedName>
    <definedName name="____________________lb27" hidden="1">#REF!</definedName>
    <definedName name="____________________lb28" localSheetId="0" hidden="1">#REF!</definedName>
    <definedName name="____________________lb28" hidden="1">#REF!</definedName>
    <definedName name="____________________lb29" localSheetId="0" hidden="1">#REF!</definedName>
    <definedName name="____________________lb29" hidden="1">#REF!</definedName>
    <definedName name="____________________lb3" localSheetId="0" hidden="1">#REF!</definedName>
    <definedName name="____________________lb3" hidden="1">#REF!</definedName>
    <definedName name="____________________lb30" localSheetId="0" hidden="1">#REF!</definedName>
    <definedName name="____________________lb30" hidden="1">#REF!</definedName>
    <definedName name="____________________lb31" localSheetId="0" hidden="1">#REF!</definedName>
    <definedName name="____________________lb31" hidden="1">#REF!</definedName>
    <definedName name="____________________lb32" localSheetId="0" hidden="1">#REF!</definedName>
    <definedName name="____________________lb32" hidden="1">#REF!</definedName>
    <definedName name="____________________lb4" localSheetId="0" hidden="1">#REF!</definedName>
    <definedName name="____________________lb4" hidden="1">#REF!</definedName>
    <definedName name="____________________lb5" localSheetId="0" hidden="1">#REF!</definedName>
    <definedName name="____________________lb5" hidden="1">#REF!</definedName>
    <definedName name="____________________lb6" localSheetId="0" hidden="1">#REF!</definedName>
    <definedName name="____________________lb6" hidden="1">#REF!</definedName>
    <definedName name="____________________lb7" localSheetId="0" hidden="1">#REF!</definedName>
    <definedName name="____________________lb7" hidden="1">#REF!</definedName>
    <definedName name="____________________lb8" localSheetId="0" hidden="1">#REF!</definedName>
    <definedName name="____________________lb8" hidden="1">#REF!</definedName>
    <definedName name="____________________lb9" localSheetId="0" hidden="1">#REF!</definedName>
    <definedName name="____________________lb9" hidden="1">#REF!</definedName>
    <definedName name="____________________lbc1" localSheetId="0" hidden="1">#REF!</definedName>
    <definedName name="____________________lbc1" hidden="1">#REF!</definedName>
    <definedName name="____________________lbc10" localSheetId="0" hidden="1">#REF!</definedName>
    <definedName name="____________________lbc10" hidden="1">#REF!</definedName>
    <definedName name="____________________lbc11" localSheetId="0" hidden="1">#REF!</definedName>
    <definedName name="____________________lbc11" hidden="1">#REF!</definedName>
    <definedName name="____________________lbc12" localSheetId="0" hidden="1">#REF!</definedName>
    <definedName name="____________________lbc12" hidden="1">#REF!</definedName>
    <definedName name="____________________lbc13" localSheetId="0" hidden="1">#REF!</definedName>
    <definedName name="____________________lbc13" hidden="1">#REF!</definedName>
    <definedName name="____________________lbc14" localSheetId="0" hidden="1">#REF!</definedName>
    <definedName name="____________________lbc14" hidden="1">#REF!</definedName>
    <definedName name="____________________lbc15" localSheetId="0" hidden="1">#REF!</definedName>
    <definedName name="____________________lbc15" hidden="1">#REF!</definedName>
    <definedName name="____________________lbc16" localSheetId="0" hidden="1">#REF!</definedName>
    <definedName name="____________________lbc16" hidden="1">#REF!</definedName>
    <definedName name="____________________lbc17" localSheetId="0" hidden="1">#REF!</definedName>
    <definedName name="____________________lbc17" hidden="1">#REF!</definedName>
    <definedName name="____________________lbc18" localSheetId="0" hidden="1">#REF!</definedName>
    <definedName name="____________________lbc18" hidden="1">#REF!</definedName>
    <definedName name="____________________lbc19" localSheetId="0" hidden="1">#REF!</definedName>
    <definedName name="____________________lbc19" hidden="1">#REF!</definedName>
    <definedName name="____________________lbc2" localSheetId="0" hidden="1">#REF!</definedName>
    <definedName name="____________________lbc2" hidden="1">#REF!</definedName>
    <definedName name="____________________lbc20" localSheetId="0" hidden="1">#REF!</definedName>
    <definedName name="____________________lbc20" hidden="1">#REF!</definedName>
    <definedName name="____________________lbc21" localSheetId="0" hidden="1">#REF!</definedName>
    <definedName name="____________________lbc21" hidden="1">#REF!</definedName>
    <definedName name="____________________lbc22" localSheetId="0" hidden="1">#REF!</definedName>
    <definedName name="____________________lbc22" hidden="1">#REF!</definedName>
    <definedName name="____________________lbc23" localSheetId="0" hidden="1">#REF!</definedName>
    <definedName name="____________________lbc23" hidden="1">#REF!</definedName>
    <definedName name="____________________lbc24" localSheetId="0" hidden="1">#REF!</definedName>
    <definedName name="____________________lbc24" hidden="1">#REF!</definedName>
    <definedName name="____________________lbc25" localSheetId="0" hidden="1">#REF!</definedName>
    <definedName name="____________________lbc25" hidden="1">#REF!</definedName>
    <definedName name="____________________lbc26" localSheetId="0" hidden="1">#REF!</definedName>
    <definedName name="____________________lbc26" hidden="1">#REF!</definedName>
    <definedName name="____________________lbc27" localSheetId="0" hidden="1">#REF!</definedName>
    <definedName name="____________________lbc27" hidden="1">#REF!</definedName>
    <definedName name="____________________lbc28" localSheetId="0" hidden="1">#REF!</definedName>
    <definedName name="____________________lbc28" hidden="1">#REF!</definedName>
    <definedName name="____________________lbc29" localSheetId="0" hidden="1">#REF!</definedName>
    <definedName name="____________________lbc29" hidden="1">#REF!</definedName>
    <definedName name="____________________lbc3" localSheetId="0" hidden="1">#REF!</definedName>
    <definedName name="____________________lbc3" hidden="1">#REF!</definedName>
    <definedName name="____________________lbc31" localSheetId="0" hidden="1">#REF!</definedName>
    <definedName name="____________________lbc31" hidden="1">#REF!</definedName>
    <definedName name="____________________lbc32" localSheetId="0" hidden="1">#REF!</definedName>
    <definedName name="____________________lbc32" hidden="1">#REF!</definedName>
    <definedName name="____________________lbc4" localSheetId="0" hidden="1">#REF!</definedName>
    <definedName name="____________________lbc4" hidden="1">#REF!</definedName>
    <definedName name="____________________lbc5" localSheetId="0" hidden="1">#REF!</definedName>
    <definedName name="____________________lbc5" hidden="1">#REF!</definedName>
    <definedName name="____________________lbc6" localSheetId="0" hidden="1">#REF!</definedName>
    <definedName name="____________________lbc6" hidden="1">#REF!</definedName>
    <definedName name="____________________lbc7" localSheetId="0" hidden="1">#REF!</definedName>
    <definedName name="____________________lbc7" hidden="1">#REF!</definedName>
    <definedName name="____________________lbc8" localSheetId="0" hidden="1">#REF!</definedName>
    <definedName name="____________________lbc8" hidden="1">#REF!</definedName>
    <definedName name="____________________lbc9" localSheetId="0" hidden="1">#REF!</definedName>
    <definedName name="____________________lbc9" hidden="1">#REF!</definedName>
    <definedName name="____________________ld26" localSheetId="0" hidden="1">#REF!</definedName>
    <definedName name="____________________ld26" hidden="1">#REF!</definedName>
    <definedName name="____________________ld31" localSheetId="0" hidden="1">#REF!</definedName>
    <definedName name="____________________ld31" hidden="1">#REF!</definedName>
    <definedName name="____________________le31" localSheetId="0" hidden="1">#REF!</definedName>
    <definedName name="____________________le31" hidden="1">#REF!</definedName>
    <definedName name="____________________lf31" localSheetId="0" hidden="1">#REF!</definedName>
    <definedName name="____________________lf31" hidden="1">#REF!</definedName>
    <definedName name="____________________x10" localSheetId="0" hidden="1">#REF!</definedName>
    <definedName name="____________________x10" hidden="1">#REF!</definedName>
    <definedName name="____________________x11" localSheetId="0" hidden="1">#REF!</definedName>
    <definedName name="____________________x11" hidden="1">#REF!</definedName>
    <definedName name="____________________x12" localSheetId="0" hidden="1">#REF!</definedName>
    <definedName name="____________________x12" hidden="1">#REF!</definedName>
    <definedName name="____________________x13" localSheetId="0" hidden="1">#REF!</definedName>
    <definedName name="____________________x13" hidden="1">#REF!</definedName>
    <definedName name="____________________x14" localSheetId="0" hidden="1">#REF!</definedName>
    <definedName name="____________________x14" hidden="1">#REF!</definedName>
    <definedName name="____________________x15" localSheetId="0" hidden="1">#REF!</definedName>
    <definedName name="____________________x15" hidden="1">#REF!</definedName>
    <definedName name="____________________x16" localSheetId="0" hidden="1">#REF!</definedName>
    <definedName name="____________________x16" hidden="1">#REF!</definedName>
    <definedName name="____________________x17" localSheetId="0" hidden="1">#REF!</definedName>
    <definedName name="____________________x17" hidden="1">#REF!</definedName>
    <definedName name="____________________x18" localSheetId="0" hidden="1">#REF!</definedName>
    <definedName name="____________________x18" hidden="1">#REF!</definedName>
    <definedName name="____________________x19" localSheetId="0" hidden="1">#REF!</definedName>
    <definedName name="____________________x19" hidden="1">#REF!</definedName>
    <definedName name="____________________x20" localSheetId="0" hidden="1">#REF!</definedName>
    <definedName name="____________________x20" hidden="1">#REF!</definedName>
    <definedName name="____________________x21" localSheetId="0" hidden="1">#REF!</definedName>
    <definedName name="____________________x21" hidden="1">#REF!</definedName>
    <definedName name="____________________x22" localSheetId="0" hidden="1">#REF!</definedName>
    <definedName name="____________________x22" hidden="1">#REF!</definedName>
    <definedName name="____________________x23" localSheetId="0" hidden="1">#REF!</definedName>
    <definedName name="____________________x23" hidden="1">#REF!</definedName>
    <definedName name="____________________x24" localSheetId="0" hidden="1">#REF!</definedName>
    <definedName name="____________________x24" hidden="1">#REF!</definedName>
    <definedName name="____________________x25" localSheetId="0" hidden="1">#REF!</definedName>
    <definedName name="____________________x25" hidden="1">#REF!</definedName>
    <definedName name="____________________x28" localSheetId="0" hidden="1">#REF!</definedName>
    <definedName name="____________________x28" hidden="1">#REF!</definedName>
    <definedName name="____________________x29" localSheetId="0" hidden="1">#REF!</definedName>
    <definedName name="____________________x29" hidden="1">#REF!</definedName>
    <definedName name="____________________x32" localSheetId="0" hidden="1">#REF!</definedName>
    <definedName name="____________________x32" hidden="1">#REF!</definedName>
    <definedName name="____________________x4" localSheetId="0" hidden="1">#REF!</definedName>
    <definedName name="____________________x4" hidden="1">#REF!</definedName>
    <definedName name="____________________x5" localSheetId="0" hidden="1">#REF!</definedName>
    <definedName name="____________________x5" hidden="1">#REF!</definedName>
    <definedName name="____________________x6" localSheetId="0" hidden="1">#REF!</definedName>
    <definedName name="____________________x6" hidden="1">#REF!</definedName>
    <definedName name="____________________x7" localSheetId="0" hidden="1">#REF!</definedName>
    <definedName name="____________________x7" hidden="1">#REF!</definedName>
    <definedName name="____________________x8" localSheetId="0" hidden="1">#REF!</definedName>
    <definedName name="____________________x8" hidden="1">#REF!</definedName>
    <definedName name="____________________x9" localSheetId="0" hidden="1">#REF!</definedName>
    <definedName name="____________________x9" hidden="1">#REF!</definedName>
    <definedName name="___________________INV12">#REF!</definedName>
    <definedName name="___________________INV13">#REF!</definedName>
    <definedName name="___________________inv2">#REF!</definedName>
    <definedName name="___________________la29" localSheetId="27" hidden="1">#REF!</definedName>
    <definedName name="___________________la29" localSheetId="0" hidden="1">#REF!</definedName>
    <definedName name="___________________la29" hidden="1">#REF!</definedName>
    <definedName name="___________________la3" localSheetId="27" hidden="1">#REF!</definedName>
    <definedName name="___________________la3" localSheetId="0" hidden="1">#REF!</definedName>
    <definedName name="___________________la3" hidden="1">#REF!</definedName>
    <definedName name="___________________la31" localSheetId="27" hidden="1">#REF!</definedName>
    <definedName name="___________________la31" localSheetId="0" hidden="1">#REF!</definedName>
    <definedName name="___________________la31" hidden="1">#REF!</definedName>
    <definedName name="___________________la32" localSheetId="0" hidden="1">#REF!</definedName>
    <definedName name="___________________la32" hidden="1">#REF!</definedName>
    <definedName name="___________________la4" localSheetId="0" hidden="1">#REF!</definedName>
    <definedName name="___________________la4" hidden="1">#REF!</definedName>
    <definedName name="___________________la5" localSheetId="0" hidden="1">#REF!</definedName>
    <definedName name="___________________la5" hidden="1">#REF!</definedName>
    <definedName name="___________________la6" localSheetId="0" hidden="1">#REF!</definedName>
    <definedName name="___________________la6" hidden="1">#REF!</definedName>
    <definedName name="___________________la7" localSheetId="0" hidden="1">#REF!</definedName>
    <definedName name="___________________la7" hidden="1">#REF!</definedName>
    <definedName name="___________________la8" localSheetId="0" hidden="1">#REF!</definedName>
    <definedName name="___________________la8" hidden="1">#REF!</definedName>
    <definedName name="___________________la9" localSheetId="0" hidden="1">#REF!</definedName>
    <definedName name="___________________la9" hidden="1">#REF!</definedName>
    <definedName name="___________________lb1" localSheetId="0" hidden="1">#REF!</definedName>
    <definedName name="___________________lb1" hidden="1">#REF!</definedName>
    <definedName name="___________________lb10" localSheetId="0" hidden="1">#REF!</definedName>
    <definedName name="___________________lb10" hidden="1">#REF!</definedName>
    <definedName name="___________________lb11" localSheetId="0" hidden="1">#REF!</definedName>
    <definedName name="___________________lb11" hidden="1">#REF!</definedName>
    <definedName name="___________________lb12" localSheetId="0" hidden="1">#REF!</definedName>
    <definedName name="___________________lb12" hidden="1">#REF!</definedName>
    <definedName name="___________________lb13" localSheetId="0" hidden="1">#REF!</definedName>
    <definedName name="___________________lb13" hidden="1">#REF!</definedName>
    <definedName name="___________________lb14" localSheetId="0" hidden="1">#REF!</definedName>
    <definedName name="___________________lb14" hidden="1">#REF!</definedName>
    <definedName name="___________________lb15" localSheetId="0" hidden="1">#REF!</definedName>
    <definedName name="___________________lb15" hidden="1">#REF!</definedName>
    <definedName name="___________________lb16" localSheetId="0" hidden="1">#REF!</definedName>
    <definedName name="___________________lb16" hidden="1">#REF!</definedName>
    <definedName name="___________________lb17" localSheetId="0" hidden="1">#REF!</definedName>
    <definedName name="___________________lb17" hidden="1">#REF!</definedName>
    <definedName name="___________________lb18" localSheetId="0" hidden="1">#REF!</definedName>
    <definedName name="___________________lb18" hidden="1">#REF!</definedName>
    <definedName name="___________________lb19" localSheetId="0" hidden="1">#REF!</definedName>
    <definedName name="___________________lb19" hidden="1">#REF!</definedName>
    <definedName name="___________________lb2" localSheetId="0" hidden="1">#REF!</definedName>
    <definedName name="___________________lb2" hidden="1">#REF!</definedName>
    <definedName name="___________________lb20" localSheetId="0" hidden="1">#REF!</definedName>
    <definedName name="___________________lb20" hidden="1">#REF!</definedName>
    <definedName name="___________________lb21" localSheetId="0" hidden="1">#REF!</definedName>
    <definedName name="___________________lb21" hidden="1">#REF!</definedName>
    <definedName name="___________________lb22" localSheetId="0" hidden="1">#REF!</definedName>
    <definedName name="___________________lb22" hidden="1">#REF!</definedName>
    <definedName name="___________________lb23" localSheetId="0" hidden="1">#REF!</definedName>
    <definedName name="___________________lb23" hidden="1">#REF!</definedName>
    <definedName name="___________________lb24" localSheetId="0" hidden="1">#REF!</definedName>
    <definedName name="___________________lb24" hidden="1">#REF!</definedName>
    <definedName name="___________________lb25" localSheetId="0" hidden="1">#REF!</definedName>
    <definedName name="___________________lb25" hidden="1">#REF!</definedName>
    <definedName name="___________________lb27" localSheetId="0" hidden="1">#REF!</definedName>
    <definedName name="___________________lb27" hidden="1">#REF!</definedName>
    <definedName name="___________________lb28" localSheetId="0" hidden="1">#REF!</definedName>
    <definedName name="___________________lb28" hidden="1">#REF!</definedName>
    <definedName name="___________________lb29" localSheetId="0" hidden="1">#REF!</definedName>
    <definedName name="___________________lb29" hidden="1">#REF!</definedName>
    <definedName name="___________________lb3" localSheetId="0" hidden="1">#REF!</definedName>
    <definedName name="___________________lb3" hidden="1">#REF!</definedName>
    <definedName name="___________________lb30" localSheetId="0" hidden="1">#REF!</definedName>
    <definedName name="___________________lb30" hidden="1">#REF!</definedName>
    <definedName name="___________________lb31" localSheetId="0" hidden="1">#REF!</definedName>
    <definedName name="___________________lb31" hidden="1">#REF!</definedName>
    <definedName name="___________________lb32" localSheetId="0" hidden="1">#REF!</definedName>
    <definedName name="___________________lb32" hidden="1">#REF!</definedName>
    <definedName name="___________________lb4" localSheetId="0" hidden="1">#REF!</definedName>
    <definedName name="___________________lb4" hidden="1">#REF!</definedName>
    <definedName name="___________________lb5" localSheetId="0" hidden="1">#REF!</definedName>
    <definedName name="___________________lb5" hidden="1">#REF!</definedName>
    <definedName name="___________________lb6" localSheetId="0" hidden="1">#REF!</definedName>
    <definedName name="___________________lb6" hidden="1">#REF!</definedName>
    <definedName name="___________________lb7" localSheetId="0" hidden="1">#REF!</definedName>
    <definedName name="___________________lb7" hidden="1">#REF!</definedName>
    <definedName name="___________________lb8" localSheetId="0" hidden="1">#REF!</definedName>
    <definedName name="___________________lb8" hidden="1">#REF!</definedName>
    <definedName name="___________________lb9" localSheetId="0" hidden="1">#REF!</definedName>
    <definedName name="___________________lb9" hidden="1">#REF!</definedName>
    <definedName name="___________________lbc1" localSheetId="0" hidden="1">#REF!</definedName>
    <definedName name="___________________lbc1" hidden="1">#REF!</definedName>
    <definedName name="___________________lbc10" localSheetId="0" hidden="1">#REF!</definedName>
    <definedName name="___________________lbc10" hidden="1">#REF!</definedName>
    <definedName name="___________________lbc11" localSheetId="0" hidden="1">#REF!</definedName>
    <definedName name="___________________lbc11" hidden="1">#REF!</definedName>
    <definedName name="___________________lbc12" localSheetId="0" hidden="1">#REF!</definedName>
    <definedName name="___________________lbc12" hidden="1">#REF!</definedName>
    <definedName name="___________________lbc13" localSheetId="0" hidden="1">#REF!</definedName>
    <definedName name="___________________lbc13" hidden="1">#REF!</definedName>
    <definedName name="___________________lbc14" localSheetId="0" hidden="1">#REF!</definedName>
    <definedName name="___________________lbc14" hidden="1">#REF!</definedName>
    <definedName name="___________________lbc15" localSheetId="0" hidden="1">#REF!</definedName>
    <definedName name="___________________lbc15" hidden="1">#REF!</definedName>
    <definedName name="___________________lbc16" localSheetId="0" hidden="1">#REF!</definedName>
    <definedName name="___________________lbc16" hidden="1">#REF!</definedName>
    <definedName name="___________________lbc17" localSheetId="0" hidden="1">#REF!</definedName>
    <definedName name="___________________lbc17" hidden="1">#REF!</definedName>
    <definedName name="___________________lbc18" localSheetId="0" hidden="1">#REF!</definedName>
    <definedName name="___________________lbc18" hidden="1">#REF!</definedName>
    <definedName name="___________________lbc19" localSheetId="0" hidden="1">#REF!</definedName>
    <definedName name="___________________lbc19" hidden="1">#REF!</definedName>
    <definedName name="___________________lbc2" localSheetId="0" hidden="1">#REF!</definedName>
    <definedName name="___________________lbc2" hidden="1">#REF!</definedName>
    <definedName name="___________________lbc20" localSheetId="0" hidden="1">#REF!</definedName>
    <definedName name="___________________lbc20" hidden="1">#REF!</definedName>
    <definedName name="___________________lbc21" localSheetId="0" hidden="1">#REF!</definedName>
    <definedName name="___________________lbc21" hidden="1">#REF!</definedName>
    <definedName name="___________________lbc22" localSheetId="0" hidden="1">#REF!</definedName>
    <definedName name="___________________lbc22" hidden="1">#REF!</definedName>
    <definedName name="___________________lbc23" localSheetId="0" hidden="1">#REF!</definedName>
    <definedName name="___________________lbc23" hidden="1">#REF!</definedName>
    <definedName name="___________________lbc24" localSheetId="0" hidden="1">#REF!</definedName>
    <definedName name="___________________lbc24" hidden="1">#REF!</definedName>
    <definedName name="___________________lbc25" localSheetId="0" hidden="1">#REF!</definedName>
    <definedName name="___________________lbc25" hidden="1">#REF!</definedName>
    <definedName name="___________________lbc26" localSheetId="0" hidden="1">#REF!</definedName>
    <definedName name="___________________lbc26" hidden="1">#REF!</definedName>
    <definedName name="___________________lbc27" localSheetId="0" hidden="1">#REF!</definedName>
    <definedName name="___________________lbc27" hidden="1">#REF!</definedName>
    <definedName name="___________________lbc28" localSheetId="0" hidden="1">#REF!</definedName>
    <definedName name="___________________lbc28" hidden="1">#REF!</definedName>
    <definedName name="___________________lbc29" localSheetId="0" hidden="1">#REF!</definedName>
    <definedName name="___________________lbc29" hidden="1">#REF!</definedName>
    <definedName name="___________________lbc3" localSheetId="0" hidden="1">#REF!</definedName>
    <definedName name="___________________lbc3" hidden="1">#REF!</definedName>
    <definedName name="___________________lbc31" localSheetId="0" hidden="1">#REF!</definedName>
    <definedName name="___________________lbc31" hidden="1">#REF!</definedName>
    <definedName name="___________________lbc32" localSheetId="0" hidden="1">#REF!</definedName>
    <definedName name="___________________lbc32" hidden="1">#REF!</definedName>
    <definedName name="___________________lbc4" localSheetId="0" hidden="1">#REF!</definedName>
    <definedName name="___________________lbc4" hidden="1">#REF!</definedName>
    <definedName name="___________________lbc5" localSheetId="0" hidden="1">#REF!</definedName>
    <definedName name="___________________lbc5" hidden="1">#REF!</definedName>
    <definedName name="___________________lbc6" localSheetId="0" hidden="1">#REF!</definedName>
    <definedName name="___________________lbc6" hidden="1">#REF!</definedName>
    <definedName name="___________________lbc7" localSheetId="0" hidden="1">#REF!</definedName>
    <definedName name="___________________lbc7" hidden="1">#REF!</definedName>
    <definedName name="___________________lbc8" localSheetId="0" hidden="1">#REF!</definedName>
    <definedName name="___________________lbc8" hidden="1">#REF!</definedName>
    <definedName name="___________________lbc9" localSheetId="0" hidden="1">#REF!</definedName>
    <definedName name="___________________lbc9" hidden="1">#REF!</definedName>
    <definedName name="___________________ld26" localSheetId="0" hidden="1">#REF!</definedName>
    <definedName name="___________________ld26" hidden="1">#REF!</definedName>
    <definedName name="___________________ld31" localSheetId="0" hidden="1">#REF!</definedName>
    <definedName name="___________________ld31" hidden="1">#REF!</definedName>
    <definedName name="___________________le31" localSheetId="0" hidden="1">#REF!</definedName>
    <definedName name="___________________le31" hidden="1">#REF!</definedName>
    <definedName name="___________________lf31" localSheetId="0" hidden="1">#REF!</definedName>
    <definedName name="___________________lf31" hidden="1">#REF!</definedName>
    <definedName name="___________________x10" localSheetId="0" hidden="1">#REF!</definedName>
    <definedName name="___________________x10" hidden="1">#REF!</definedName>
    <definedName name="___________________x11" localSheetId="0" hidden="1">#REF!</definedName>
    <definedName name="___________________x11" hidden="1">#REF!</definedName>
    <definedName name="___________________x12" localSheetId="0" hidden="1">#REF!</definedName>
    <definedName name="___________________x12" hidden="1">#REF!</definedName>
    <definedName name="___________________x13" localSheetId="0" hidden="1">#REF!</definedName>
    <definedName name="___________________x13" hidden="1">#REF!</definedName>
    <definedName name="___________________x14" localSheetId="0" hidden="1">#REF!</definedName>
    <definedName name="___________________x14" hidden="1">#REF!</definedName>
    <definedName name="___________________x15" localSheetId="0" hidden="1">#REF!</definedName>
    <definedName name="___________________x15" hidden="1">#REF!</definedName>
    <definedName name="___________________x16" localSheetId="0" hidden="1">#REF!</definedName>
    <definedName name="___________________x16" hidden="1">#REF!</definedName>
    <definedName name="___________________x17" localSheetId="0" hidden="1">#REF!</definedName>
    <definedName name="___________________x17" hidden="1">#REF!</definedName>
    <definedName name="___________________x18" localSheetId="0" hidden="1">#REF!</definedName>
    <definedName name="___________________x18" hidden="1">#REF!</definedName>
    <definedName name="___________________x19" localSheetId="0" hidden="1">#REF!</definedName>
    <definedName name="___________________x19" hidden="1">#REF!</definedName>
    <definedName name="___________________x20" localSheetId="0" hidden="1">#REF!</definedName>
    <definedName name="___________________x20" hidden="1">#REF!</definedName>
    <definedName name="___________________x21" localSheetId="0" hidden="1">#REF!</definedName>
    <definedName name="___________________x21" hidden="1">#REF!</definedName>
    <definedName name="___________________x22" localSheetId="0" hidden="1">#REF!</definedName>
    <definedName name="___________________x22" hidden="1">#REF!</definedName>
    <definedName name="___________________x23" localSheetId="0" hidden="1">#REF!</definedName>
    <definedName name="___________________x23" hidden="1">#REF!</definedName>
    <definedName name="___________________x24" localSheetId="0" hidden="1">#REF!</definedName>
    <definedName name="___________________x24" hidden="1">#REF!</definedName>
    <definedName name="___________________x25" localSheetId="0" hidden="1">#REF!</definedName>
    <definedName name="___________________x25" hidden="1">#REF!</definedName>
    <definedName name="___________________x28" localSheetId="0" hidden="1">#REF!</definedName>
    <definedName name="___________________x28" hidden="1">#REF!</definedName>
    <definedName name="___________________x29" localSheetId="0" hidden="1">#REF!</definedName>
    <definedName name="___________________x29" hidden="1">#REF!</definedName>
    <definedName name="___________________x32" localSheetId="0" hidden="1">#REF!</definedName>
    <definedName name="___________________x32" hidden="1">#REF!</definedName>
    <definedName name="___________________x4" localSheetId="0" hidden="1">#REF!</definedName>
    <definedName name="___________________x4" hidden="1">#REF!</definedName>
    <definedName name="___________________x5" localSheetId="0" hidden="1">#REF!</definedName>
    <definedName name="___________________x5" hidden="1">#REF!</definedName>
    <definedName name="___________________x6" localSheetId="0" hidden="1">#REF!</definedName>
    <definedName name="___________________x6" hidden="1">#REF!</definedName>
    <definedName name="___________________x7" localSheetId="0" hidden="1">#REF!</definedName>
    <definedName name="___________________x7" hidden="1">#REF!</definedName>
    <definedName name="___________________x8" localSheetId="0" hidden="1">#REF!</definedName>
    <definedName name="___________________x8" hidden="1">#REF!</definedName>
    <definedName name="___________________x9" localSheetId="0" hidden="1">#REF!</definedName>
    <definedName name="___________________x9" hidden="1">#REF!</definedName>
    <definedName name="__________________INV12">#REF!</definedName>
    <definedName name="__________________INV13">#REF!</definedName>
    <definedName name="__________________inv2">#REF!</definedName>
    <definedName name="__________________la29" localSheetId="27" hidden="1">#REF!</definedName>
    <definedName name="__________________la29" localSheetId="0" hidden="1">#REF!</definedName>
    <definedName name="__________________la29" hidden="1">#REF!</definedName>
    <definedName name="__________________la3" localSheetId="27" hidden="1">#REF!</definedName>
    <definedName name="__________________la3" localSheetId="0" hidden="1">#REF!</definedName>
    <definedName name="__________________la3" hidden="1">#REF!</definedName>
    <definedName name="__________________la31" localSheetId="27" hidden="1">#REF!</definedName>
    <definedName name="__________________la31" localSheetId="0" hidden="1">#REF!</definedName>
    <definedName name="__________________la31" hidden="1">#REF!</definedName>
    <definedName name="__________________la32" localSheetId="0" hidden="1">#REF!</definedName>
    <definedName name="__________________la32" hidden="1">#REF!</definedName>
    <definedName name="__________________la4" localSheetId="0" hidden="1">#REF!</definedName>
    <definedName name="__________________la4" hidden="1">#REF!</definedName>
    <definedName name="__________________la5" localSheetId="0" hidden="1">#REF!</definedName>
    <definedName name="__________________la5" hidden="1">#REF!</definedName>
    <definedName name="__________________la6" localSheetId="0" hidden="1">#REF!</definedName>
    <definedName name="__________________la6" hidden="1">#REF!</definedName>
    <definedName name="__________________la7" localSheetId="0" hidden="1">#REF!</definedName>
    <definedName name="__________________la7" hidden="1">#REF!</definedName>
    <definedName name="__________________la8" localSheetId="0" hidden="1">#REF!</definedName>
    <definedName name="__________________la8" hidden="1">#REF!</definedName>
    <definedName name="__________________la9" localSheetId="0" hidden="1">#REF!</definedName>
    <definedName name="__________________la9" hidden="1">#REF!</definedName>
    <definedName name="__________________lb1" localSheetId="0" hidden="1">#REF!</definedName>
    <definedName name="__________________lb1" hidden="1">#REF!</definedName>
    <definedName name="__________________lb10" localSheetId="0" hidden="1">#REF!</definedName>
    <definedName name="__________________lb10" hidden="1">#REF!</definedName>
    <definedName name="__________________lb11" localSheetId="0" hidden="1">#REF!</definedName>
    <definedName name="__________________lb11" hidden="1">#REF!</definedName>
    <definedName name="__________________lb12" localSheetId="0" hidden="1">#REF!</definedName>
    <definedName name="__________________lb12" hidden="1">#REF!</definedName>
    <definedName name="__________________lb13" localSheetId="0" hidden="1">#REF!</definedName>
    <definedName name="__________________lb13" hidden="1">#REF!</definedName>
    <definedName name="__________________lb14" localSheetId="0" hidden="1">#REF!</definedName>
    <definedName name="__________________lb14" hidden="1">#REF!</definedName>
    <definedName name="__________________lb15" localSheetId="0" hidden="1">#REF!</definedName>
    <definedName name="__________________lb15" hidden="1">#REF!</definedName>
    <definedName name="__________________lb16" localSheetId="0" hidden="1">#REF!</definedName>
    <definedName name="__________________lb16" hidden="1">#REF!</definedName>
    <definedName name="__________________lb17" localSheetId="0" hidden="1">#REF!</definedName>
    <definedName name="__________________lb17" hidden="1">#REF!</definedName>
    <definedName name="__________________lb18" localSheetId="0" hidden="1">#REF!</definedName>
    <definedName name="__________________lb18" hidden="1">#REF!</definedName>
    <definedName name="__________________lb19" localSheetId="0" hidden="1">#REF!</definedName>
    <definedName name="__________________lb19" hidden="1">#REF!</definedName>
    <definedName name="__________________lb2" localSheetId="0" hidden="1">#REF!</definedName>
    <definedName name="__________________lb2" hidden="1">#REF!</definedName>
    <definedName name="__________________lb20" localSheetId="0" hidden="1">#REF!</definedName>
    <definedName name="__________________lb20" hidden="1">#REF!</definedName>
    <definedName name="__________________lb21" localSheetId="0" hidden="1">#REF!</definedName>
    <definedName name="__________________lb21" hidden="1">#REF!</definedName>
    <definedName name="__________________lb22" localSheetId="0" hidden="1">#REF!</definedName>
    <definedName name="__________________lb22" hidden="1">#REF!</definedName>
    <definedName name="__________________lb23" localSheetId="0" hidden="1">#REF!</definedName>
    <definedName name="__________________lb23" hidden="1">#REF!</definedName>
    <definedName name="__________________lb24" localSheetId="0" hidden="1">#REF!</definedName>
    <definedName name="__________________lb24" hidden="1">#REF!</definedName>
    <definedName name="__________________lb25" localSheetId="0" hidden="1">#REF!</definedName>
    <definedName name="__________________lb25" hidden="1">#REF!</definedName>
    <definedName name="__________________lb27" localSheetId="0" hidden="1">#REF!</definedName>
    <definedName name="__________________lb27" hidden="1">#REF!</definedName>
    <definedName name="__________________lb28" localSheetId="0" hidden="1">#REF!</definedName>
    <definedName name="__________________lb28" hidden="1">#REF!</definedName>
    <definedName name="__________________lb29" localSheetId="0" hidden="1">#REF!</definedName>
    <definedName name="__________________lb29" hidden="1">#REF!</definedName>
    <definedName name="__________________lb3" localSheetId="0" hidden="1">#REF!</definedName>
    <definedName name="__________________lb3" hidden="1">#REF!</definedName>
    <definedName name="__________________lb30" localSheetId="0" hidden="1">#REF!</definedName>
    <definedName name="__________________lb30" hidden="1">#REF!</definedName>
    <definedName name="__________________lb31" localSheetId="0" hidden="1">#REF!</definedName>
    <definedName name="__________________lb31" hidden="1">#REF!</definedName>
    <definedName name="__________________lb32" localSheetId="0" hidden="1">#REF!</definedName>
    <definedName name="__________________lb32" hidden="1">#REF!</definedName>
    <definedName name="__________________lb4" localSheetId="0" hidden="1">#REF!</definedName>
    <definedName name="__________________lb4" hidden="1">#REF!</definedName>
    <definedName name="__________________lb5" localSheetId="0" hidden="1">#REF!</definedName>
    <definedName name="__________________lb5" hidden="1">#REF!</definedName>
    <definedName name="__________________lb6" localSheetId="0" hidden="1">#REF!</definedName>
    <definedName name="__________________lb6" hidden="1">#REF!</definedName>
    <definedName name="__________________lb7" localSheetId="0" hidden="1">#REF!</definedName>
    <definedName name="__________________lb7" hidden="1">#REF!</definedName>
    <definedName name="__________________lb8" localSheetId="0" hidden="1">#REF!</definedName>
    <definedName name="__________________lb8" hidden="1">#REF!</definedName>
    <definedName name="__________________lb9" localSheetId="0" hidden="1">#REF!</definedName>
    <definedName name="__________________lb9" hidden="1">#REF!</definedName>
    <definedName name="__________________lbc1" localSheetId="0" hidden="1">#REF!</definedName>
    <definedName name="__________________lbc1" hidden="1">#REF!</definedName>
    <definedName name="__________________lbc10" localSheetId="0" hidden="1">#REF!</definedName>
    <definedName name="__________________lbc10" hidden="1">#REF!</definedName>
    <definedName name="__________________lbc11" localSheetId="0" hidden="1">#REF!</definedName>
    <definedName name="__________________lbc11" hidden="1">#REF!</definedName>
    <definedName name="__________________lbc12" localSheetId="0" hidden="1">#REF!</definedName>
    <definedName name="__________________lbc12" hidden="1">#REF!</definedName>
    <definedName name="__________________lbc13" localSheetId="0" hidden="1">#REF!</definedName>
    <definedName name="__________________lbc13" hidden="1">#REF!</definedName>
    <definedName name="__________________lbc14" localSheetId="0" hidden="1">#REF!</definedName>
    <definedName name="__________________lbc14" hidden="1">#REF!</definedName>
    <definedName name="__________________lbc15" localSheetId="0" hidden="1">#REF!</definedName>
    <definedName name="__________________lbc15" hidden="1">#REF!</definedName>
    <definedName name="__________________lbc16" localSheetId="0" hidden="1">#REF!</definedName>
    <definedName name="__________________lbc16" hidden="1">#REF!</definedName>
    <definedName name="__________________lbc17" localSheetId="0" hidden="1">#REF!</definedName>
    <definedName name="__________________lbc17" hidden="1">#REF!</definedName>
    <definedName name="__________________lbc18" localSheetId="0" hidden="1">#REF!</definedName>
    <definedName name="__________________lbc18" hidden="1">#REF!</definedName>
    <definedName name="__________________lbc19" localSheetId="0" hidden="1">#REF!</definedName>
    <definedName name="__________________lbc19" hidden="1">#REF!</definedName>
    <definedName name="__________________lbc2" localSheetId="0" hidden="1">#REF!</definedName>
    <definedName name="__________________lbc2" hidden="1">#REF!</definedName>
    <definedName name="__________________lbc20" localSheetId="0" hidden="1">#REF!</definedName>
    <definedName name="__________________lbc20" hidden="1">#REF!</definedName>
    <definedName name="__________________lbc21" localSheetId="0" hidden="1">#REF!</definedName>
    <definedName name="__________________lbc21" hidden="1">#REF!</definedName>
    <definedName name="__________________lbc22" localSheetId="0" hidden="1">#REF!</definedName>
    <definedName name="__________________lbc22" hidden="1">#REF!</definedName>
    <definedName name="__________________lbc23" localSheetId="0" hidden="1">#REF!</definedName>
    <definedName name="__________________lbc23" hidden="1">#REF!</definedName>
    <definedName name="__________________lbc24" localSheetId="0" hidden="1">#REF!</definedName>
    <definedName name="__________________lbc24" hidden="1">#REF!</definedName>
    <definedName name="__________________lbc25" localSheetId="0" hidden="1">#REF!</definedName>
    <definedName name="__________________lbc25" hidden="1">#REF!</definedName>
    <definedName name="__________________lbc26" localSheetId="0" hidden="1">#REF!</definedName>
    <definedName name="__________________lbc26" hidden="1">#REF!</definedName>
    <definedName name="__________________lbc27" localSheetId="0" hidden="1">#REF!</definedName>
    <definedName name="__________________lbc27" hidden="1">#REF!</definedName>
    <definedName name="__________________lbc28" localSheetId="0" hidden="1">#REF!</definedName>
    <definedName name="__________________lbc28" hidden="1">#REF!</definedName>
    <definedName name="__________________lbc29" localSheetId="0" hidden="1">#REF!</definedName>
    <definedName name="__________________lbc29" hidden="1">#REF!</definedName>
    <definedName name="__________________lbc3" localSheetId="0" hidden="1">#REF!</definedName>
    <definedName name="__________________lbc3" hidden="1">#REF!</definedName>
    <definedName name="__________________lbc31" localSheetId="0" hidden="1">#REF!</definedName>
    <definedName name="__________________lbc31" hidden="1">#REF!</definedName>
    <definedName name="__________________lbc32" localSheetId="0" hidden="1">#REF!</definedName>
    <definedName name="__________________lbc32" hidden="1">#REF!</definedName>
    <definedName name="__________________lbc4" localSheetId="0" hidden="1">#REF!</definedName>
    <definedName name="__________________lbc4" hidden="1">#REF!</definedName>
    <definedName name="__________________lbc5" localSheetId="0" hidden="1">#REF!</definedName>
    <definedName name="__________________lbc5" hidden="1">#REF!</definedName>
    <definedName name="__________________lbc6" localSheetId="0" hidden="1">#REF!</definedName>
    <definedName name="__________________lbc6" hidden="1">#REF!</definedName>
    <definedName name="__________________lbc7" localSheetId="0" hidden="1">#REF!</definedName>
    <definedName name="__________________lbc7" hidden="1">#REF!</definedName>
    <definedName name="__________________lbc8" localSheetId="0" hidden="1">#REF!</definedName>
    <definedName name="__________________lbc8" hidden="1">#REF!</definedName>
    <definedName name="__________________lbc9" localSheetId="0" hidden="1">#REF!</definedName>
    <definedName name="__________________lbc9" hidden="1">#REF!</definedName>
    <definedName name="__________________ld26" localSheetId="0" hidden="1">#REF!</definedName>
    <definedName name="__________________ld26" hidden="1">#REF!</definedName>
    <definedName name="__________________ld31" localSheetId="0" hidden="1">#REF!</definedName>
    <definedName name="__________________ld31" hidden="1">#REF!</definedName>
    <definedName name="__________________le31" localSheetId="0" hidden="1">#REF!</definedName>
    <definedName name="__________________le31" hidden="1">#REF!</definedName>
    <definedName name="__________________lf31" localSheetId="0" hidden="1">#REF!</definedName>
    <definedName name="__________________lf31" hidden="1">#REF!</definedName>
    <definedName name="__________________x10" localSheetId="0" hidden="1">#REF!</definedName>
    <definedName name="__________________x10" hidden="1">#REF!</definedName>
    <definedName name="__________________x11" localSheetId="0" hidden="1">#REF!</definedName>
    <definedName name="__________________x11" hidden="1">#REF!</definedName>
    <definedName name="__________________x12" localSheetId="0" hidden="1">#REF!</definedName>
    <definedName name="__________________x12" hidden="1">#REF!</definedName>
    <definedName name="__________________x13" localSheetId="0" hidden="1">#REF!</definedName>
    <definedName name="__________________x13" hidden="1">#REF!</definedName>
    <definedName name="__________________x14" localSheetId="0" hidden="1">#REF!</definedName>
    <definedName name="__________________x14" hidden="1">#REF!</definedName>
    <definedName name="__________________x15" localSheetId="0" hidden="1">#REF!</definedName>
    <definedName name="__________________x15" hidden="1">#REF!</definedName>
    <definedName name="__________________x16" localSheetId="0" hidden="1">#REF!</definedName>
    <definedName name="__________________x16" hidden="1">#REF!</definedName>
    <definedName name="__________________x17" localSheetId="0" hidden="1">#REF!</definedName>
    <definedName name="__________________x17" hidden="1">#REF!</definedName>
    <definedName name="__________________x18" localSheetId="0" hidden="1">#REF!</definedName>
    <definedName name="__________________x18" hidden="1">#REF!</definedName>
    <definedName name="__________________x19" localSheetId="0" hidden="1">#REF!</definedName>
    <definedName name="__________________x19" hidden="1">#REF!</definedName>
    <definedName name="__________________x20" localSheetId="0" hidden="1">#REF!</definedName>
    <definedName name="__________________x20" hidden="1">#REF!</definedName>
    <definedName name="__________________x21" localSheetId="0" hidden="1">#REF!</definedName>
    <definedName name="__________________x21" hidden="1">#REF!</definedName>
    <definedName name="__________________x22" localSheetId="0" hidden="1">#REF!</definedName>
    <definedName name="__________________x22" hidden="1">#REF!</definedName>
    <definedName name="__________________x23" localSheetId="0" hidden="1">#REF!</definedName>
    <definedName name="__________________x23" hidden="1">#REF!</definedName>
    <definedName name="__________________x24" localSheetId="0" hidden="1">#REF!</definedName>
    <definedName name="__________________x24" hidden="1">#REF!</definedName>
    <definedName name="__________________x25" localSheetId="0" hidden="1">#REF!</definedName>
    <definedName name="__________________x25" hidden="1">#REF!</definedName>
    <definedName name="__________________x28" localSheetId="0" hidden="1">#REF!</definedName>
    <definedName name="__________________x28" hidden="1">#REF!</definedName>
    <definedName name="__________________x29" localSheetId="0" hidden="1">#REF!</definedName>
    <definedName name="__________________x29" hidden="1">#REF!</definedName>
    <definedName name="__________________x32" localSheetId="0" hidden="1">#REF!</definedName>
    <definedName name="__________________x32" hidden="1">#REF!</definedName>
    <definedName name="__________________x4" localSheetId="0" hidden="1">#REF!</definedName>
    <definedName name="__________________x4" hidden="1">#REF!</definedName>
    <definedName name="__________________x5" localSheetId="0" hidden="1">#REF!</definedName>
    <definedName name="__________________x5" hidden="1">#REF!</definedName>
    <definedName name="__________________x6" localSheetId="0" hidden="1">#REF!</definedName>
    <definedName name="__________________x6" hidden="1">#REF!</definedName>
    <definedName name="__________________x7" localSheetId="0" hidden="1">#REF!</definedName>
    <definedName name="__________________x7" hidden="1">#REF!</definedName>
    <definedName name="__________________x8" localSheetId="0" hidden="1">#REF!</definedName>
    <definedName name="__________________x8" hidden="1">#REF!</definedName>
    <definedName name="__________________x9" localSheetId="0" hidden="1">#REF!</definedName>
    <definedName name="__________________x9" hidden="1">#REF!</definedName>
    <definedName name="_________________INV12">#REF!</definedName>
    <definedName name="_________________INV13">#REF!</definedName>
    <definedName name="_________________inv2">#REF!</definedName>
    <definedName name="_________________la29" localSheetId="27" hidden="1">#REF!</definedName>
    <definedName name="_________________la29" localSheetId="0" hidden="1">#REF!</definedName>
    <definedName name="_________________la29" hidden="1">#REF!</definedName>
    <definedName name="_________________la3" localSheetId="27" hidden="1">#REF!</definedName>
    <definedName name="_________________la3" localSheetId="0" hidden="1">#REF!</definedName>
    <definedName name="_________________la3" hidden="1">#REF!</definedName>
    <definedName name="_________________la31" localSheetId="27" hidden="1">#REF!</definedName>
    <definedName name="_________________la31" localSheetId="0" hidden="1">#REF!</definedName>
    <definedName name="_________________la31" hidden="1">#REF!</definedName>
    <definedName name="_________________la32" localSheetId="0" hidden="1">#REF!</definedName>
    <definedName name="_________________la32" hidden="1">#REF!</definedName>
    <definedName name="_________________la4" localSheetId="0" hidden="1">#REF!</definedName>
    <definedName name="_________________la4" hidden="1">#REF!</definedName>
    <definedName name="_________________la5" localSheetId="0" hidden="1">#REF!</definedName>
    <definedName name="_________________la5" hidden="1">#REF!</definedName>
    <definedName name="_________________la6" localSheetId="0" hidden="1">#REF!</definedName>
    <definedName name="_________________la6" hidden="1">#REF!</definedName>
    <definedName name="_________________la7" localSheetId="0" hidden="1">#REF!</definedName>
    <definedName name="_________________la7" hidden="1">#REF!</definedName>
    <definedName name="_________________la8" localSheetId="0" hidden="1">#REF!</definedName>
    <definedName name="_________________la8" hidden="1">#REF!</definedName>
    <definedName name="_________________la9" localSheetId="0" hidden="1">#REF!</definedName>
    <definedName name="_________________la9" hidden="1">#REF!</definedName>
    <definedName name="_________________lb1" localSheetId="0" hidden="1">#REF!</definedName>
    <definedName name="_________________lb1" hidden="1">#REF!</definedName>
    <definedName name="_________________lb10" localSheetId="0" hidden="1">#REF!</definedName>
    <definedName name="_________________lb10" hidden="1">#REF!</definedName>
    <definedName name="_________________lb11" localSheetId="0" hidden="1">#REF!</definedName>
    <definedName name="_________________lb11" hidden="1">#REF!</definedName>
    <definedName name="_________________lb12" localSheetId="0" hidden="1">#REF!</definedName>
    <definedName name="_________________lb12" hidden="1">#REF!</definedName>
    <definedName name="_________________lb13" localSheetId="0" hidden="1">#REF!</definedName>
    <definedName name="_________________lb13" hidden="1">#REF!</definedName>
    <definedName name="_________________lb14" localSheetId="0" hidden="1">#REF!</definedName>
    <definedName name="_________________lb14" hidden="1">#REF!</definedName>
    <definedName name="_________________lb15" localSheetId="0" hidden="1">#REF!</definedName>
    <definedName name="_________________lb15" hidden="1">#REF!</definedName>
    <definedName name="_________________lb16" localSheetId="0" hidden="1">#REF!</definedName>
    <definedName name="_________________lb16" hidden="1">#REF!</definedName>
    <definedName name="_________________lb17" localSheetId="0" hidden="1">#REF!</definedName>
    <definedName name="_________________lb17" hidden="1">#REF!</definedName>
    <definedName name="_________________lb18" localSheetId="0" hidden="1">#REF!</definedName>
    <definedName name="_________________lb18" hidden="1">#REF!</definedName>
    <definedName name="_________________lb19" localSheetId="0" hidden="1">#REF!</definedName>
    <definedName name="_________________lb19" hidden="1">#REF!</definedName>
    <definedName name="_________________lb2" localSheetId="0" hidden="1">#REF!</definedName>
    <definedName name="_________________lb2" hidden="1">#REF!</definedName>
    <definedName name="_________________lb20" localSheetId="0" hidden="1">#REF!</definedName>
    <definedName name="_________________lb20" hidden="1">#REF!</definedName>
    <definedName name="_________________lb21" localSheetId="0" hidden="1">#REF!</definedName>
    <definedName name="_________________lb21" hidden="1">#REF!</definedName>
    <definedName name="_________________lb22" localSheetId="0" hidden="1">#REF!</definedName>
    <definedName name="_________________lb22" hidden="1">#REF!</definedName>
    <definedName name="_________________lb23" localSheetId="0" hidden="1">#REF!</definedName>
    <definedName name="_________________lb23" hidden="1">#REF!</definedName>
    <definedName name="_________________lb24" localSheetId="0" hidden="1">#REF!</definedName>
    <definedName name="_________________lb24" hidden="1">#REF!</definedName>
    <definedName name="_________________lb25" localSheetId="0" hidden="1">#REF!</definedName>
    <definedName name="_________________lb25" hidden="1">#REF!</definedName>
    <definedName name="_________________lb27" localSheetId="0" hidden="1">#REF!</definedName>
    <definedName name="_________________lb27" hidden="1">#REF!</definedName>
    <definedName name="_________________lb28" localSheetId="0" hidden="1">#REF!</definedName>
    <definedName name="_________________lb28" hidden="1">#REF!</definedName>
    <definedName name="_________________lb29" localSheetId="0" hidden="1">#REF!</definedName>
    <definedName name="_________________lb29" hidden="1">#REF!</definedName>
    <definedName name="_________________lb3" localSheetId="0" hidden="1">#REF!</definedName>
    <definedName name="_________________lb3" hidden="1">#REF!</definedName>
    <definedName name="_________________lb30" localSheetId="0" hidden="1">#REF!</definedName>
    <definedName name="_________________lb30" hidden="1">#REF!</definedName>
    <definedName name="_________________lb31" localSheetId="0" hidden="1">#REF!</definedName>
    <definedName name="_________________lb31" hidden="1">#REF!</definedName>
    <definedName name="_________________lb32" localSheetId="0" hidden="1">#REF!</definedName>
    <definedName name="_________________lb32" hidden="1">#REF!</definedName>
    <definedName name="_________________lb4" localSheetId="0" hidden="1">#REF!</definedName>
    <definedName name="_________________lb4" hidden="1">#REF!</definedName>
    <definedName name="_________________lb5" localSheetId="0" hidden="1">#REF!</definedName>
    <definedName name="_________________lb5" hidden="1">#REF!</definedName>
    <definedName name="_________________lb6" localSheetId="0" hidden="1">#REF!</definedName>
    <definedName name="_________________lb6" hidden="1">#REF!</definedName>
    <definedName name="_________________lb7" localSheetId="0" hidden="1">#REF!</definedName>
    <definedName name="_________________lb7" hidden="1">#REF!</definedName>
    <definedName name="_________________lb8" localSheetId="0" hidden="1">#REF!</definedName>
    <definedName name="_________________lb8" hidden="1">#REF!</definedName>
    <definedName name="_________________lb9" localSheetId="0" hidden="1">#REF!</definedName>
    <definedName name="_________________lb9" hidden="1">#REF!</definedName>
    <definedName name="_________________lbc1" localSheetId="0" hidden="1">#REF!</definedName>
    <definedName name="_________________lbc1" hidden="1">#REF!</definedName>
    <definedName name="_________________lbc10" localSheetId="0" hidden="1">#REF!</definedName>
    <definedName name="_________________lbc10" hidden="1">#REF!</definedName>
    <definedName name="_________________lbc11" localSheetId="0" hidden="1">#REF!</definedName>
    <definedName name="_________________lbc11" hidden="1">#REF!</definedName>
    <definedName name="_________________lbc12" localSheetId="0" hidden="1">#REF!</definedName>
    <definedName name="_________________lbc12" hidden="1">#REF!</definedName>
    <definedName name="_________________lbc13" localSheetId="0" hidden="1">#REF!</definedName>
    <definedName name="_________________lbc13" hidden="1">#REF!</definedName>
    <definedName name="_________________lbc14" localSheetId="0" hidden="1">#REF!</definedName>
    <definedName name="_________________lbc14" hidden="1">#REF!</definedName>
    <definedName name="_________________lbc15" localSheetId="0" hidden="1">#REF!</definedName>
    <definedName name="_________________lbc15" hidden="1">#REF!</definedName>
    <definedName name="_________________lbc16" localSheetId="0" hidden="1">#REF!</definedName>
    <definedName name="_________________lbc16" hidden="1">#REF!</definedName>
    <definedName name="_________________lbc17" localSheetId="0" hidden="1">#REF!</definedName>
    <definedName name="_________________lbc17" hidden="1">#REF!</definedName>
    <definedName name="_________________lbc18" localSheetId="0" hidden="1">#REF!</definedName>
    <definedName name="_________________lbc18" hidden="1">#REF!</definedName>
    <definedName name="_________________lbc19" localSheetId="0" hidden="1">#REF!</definedName>
    <definedName name="_________________lbc19" hidden="1">#REF!</definedName>
    <definedName name="_________________lbc2" localSheetId="0" hidden="1">#REF!</definedName>
    <definedName name="_________________lbc2" hidden="1">#REF!</definedName>
    <definedName name="_________________lbc20" localSheetId="0" hidden="1">#REF!</definedName>
    <definedName name="_________________lbc20" hidden="1">#REF!</definedName>
    <definedName name="_________________lbc21" localSheetId="0" hidden="1">#REF!</definedName>
    <definedName name="_________________lbc21" hidden="1">#REF!</definedName>
    <definedName name="_________________lbc22" localSheetId="0" hidden="1">#REF!</definedName>
    <definedName name="_________________lbc22" hidden="1">#REF!</definedName>
    <definedName name="_________________lbc23" localSheetId="0" hidden="1">#REF!</definedName>
    <definedName name="_________________lbc23" hidden="1">#REF!</definedName>
    <definedName name="_________________lbc24" localSheetId="0" hidden="1">#REF!</definedName>
    <definedName name="_________________lbc24" hidden="1">#REF!</definedName>
    <definedName name="_________________lbc25" localSheetId="0" hidden="1">#REF!</definedName>
    <definedName name="_________________lbc25" hidden="1">#REF!</definedName>
    <definedName name="_________________lbc26" localSheetId="0" hidden="1">#REF!</definedName>
    <definedName name="_________________lbc26" hidden="1">#REF!</definedName>
    <definedName name="_________________lbc27" localSheetId="0" hidden="1">#REF!</definedName>
    <definedName name="_________________lbc27" hidden="1">#REF!</definedName>
    <definedName name="_________________lbc28" localSheetId="0" hidden="1">#REF!</definedName>
    <definedName name="_________________lbc28" hidden="1">#REF!</definedName>
    <definedName name="_________________lbc29" localSheetId="0" hidden="1">#REF!</definedName>
    <definedName name="_________________lbc29" hidden="1">#REF!</definedName>
    <definedName name="_________________lbc3" localSheetId="0" hidden="1">#REF!</definedName>
    <definedName name="_________________lbc3" hidden="1">#REF!</definedName>
    <definedName name="_________________lbc31" localSheetId="0" hidden="1">#REF!</definedName>
    <definedName name="_________________lbc31" hidden="1">#REF!</definedName>
    <definedName name="_________________lbc32" localSheetId="0" hidden="1">#REF!</definedName>
    <definedName name="_________________lbc32" hidden="1">#REF!</definedName>
    <definedName name="_________________lbc4" localSheetId="0" hidden="1">#REF!</definedName>
    <definedName name="_________________lbc4" hidden="1">#REF!</definedName>
    <definedName name="_________________lbc5" localSheetId="0" hidden="1">#REF!</definedName>
    <definedName name="_________________lbc5" hidden="1">#REF!</definedName>
    <definedName name="_________________lbc6" localSheetId="0" hidden="1">#REF!</definedName>
    <definedName name="_________________lbc6" hidden="1">#REF!</definedName>
    <definedName name="_________________lbc7" localSheetId="0" hidden="1">#REF!</definedName>
    <definedName name="_________________lbc7" hidden="1">#REF!</definedName>
    <definedName name="_________________lbc8" localSheetId="0" hidden="1">#REF!</definedName>
    <definedName name="_________________lbc8" hidden="1">#REF!</definedName>
    <definedName name="_________________lbc9" localSheetId="0" hidden="1">#REF!</definedName>
    <definedName name="_________________lbc9" hidden="1">#REF!</definedName>
    <definedName name="_________________ld26" localSheetId="0" hidden="1">#REF!</definedName>
    <definedName name="_________________ld26" hidden="1">#REF!</definedName>
    <definedName name="_________________ld31" localSheetId="0" hidden="1">#REF!</definedName>
    <definedName name="_________________ld31" hidden="1">#REF!</definedName>
    <definedName name="_________________le31" localSheetId="0" hidden="1">#REF!</definedName>
    <definedName name="_________________le31" hidden="1">#REF!</definedName>
    <definedName name="_________________lf31" localSheetId="0" hidden="1">#REF!</definedName>
    <definedName name="_________________lf31" hidden="1">#REF!</definedName>
    <definedName name="_________________x10" localSheetId="0" hidden="1">#REF!</definedName>
    <definedName name="_________________x10" hidden="1">#REF!</definedName>
    <definedName name="_________________x11" localSheetId="0" hidden="1">#REF!</definedName>
    <definedName name="_________________x11" hidden="1">#REF!</definedName>
    <definedName name="_________________x12" localSheetId="0" hidden="1">#REF!</definedName>
    <definedName name="_________________x12" hidden="1">#REF!</definedName>
    <definedName name="_________________x13" localSheetId="0" hidden="1">#REF!</definedName>
    <definedName name="_________________x13" hidden="1">#REF!</definedName>
    <definedName name="_________________x14" localSheetId="0" hidden="1">#REF!</definedName>
    <definedName name="_________________x14" hidden="1">#REF!</definedName>
    <definedName name="_________________x15" localSheetId="0" hidden="1">#REF!</definedName>
    <definedName name="_________________x15" hidden="1">#REF!</definedName>
    <definedName name="_________________x16" localSheetId="0" hidden="1">#REF!</definedName>
    <definedName name="_________________x16" hidden="1">#REF!</definedName>
    <definedName name="_________________x17" localSheetId="0" hidden="1">#REF!</definedName>
    <definedName name="_________________x17" hidden="1">#REF!</definedName>
    <definedName name="_________________x18" localSheetId="0" hidden="1">#REF!</definedName>
    <definedName name="_________________x18" hidden="1">#REF!</definedName>
    <definedName name="_________________x19" localSheetId="0" hidden="1">#REF!</definedName>
    <definedName name="_________________x19" hidden="1">#REF!</definedName>
    <definedName name="_________________x20" localSheetId="0" hidden="1">#REF!</definedName>
    <definedName name="_________________x20" hidden="1">#REF!</definedName>
    <definedName name="_________________x21" localSheetId="0" hidden="1">#REF!</definedName>
    <definedName name="_________________x21" hidden="1">#REF!</definedName>
    <definedName name="_________________x22" localSheetId="0" hidden="1">#REF!</definedName>
    <definedName name="_________________x22" hidden="1">#REF!</definedName>
    <definedName name="_________________x23" localSheetId="0" hidden="1">#REF!</definedName>
    <definedName name="_________________x23" hidden="1">#REF!</definedName>
    <definedName name="_________________x24" localSheetId="0" hidden="1">#REF!</definedName>
    <definedName name="_________________x24" hidden="1">#REF!</definedName>
    <definedName name="_________________x25" localSheetId="0" hidden="1">#REF!</definedName>
    <definedName name="_________________x25" hidden="1">#REF!</definedName>
    <definedName name="_________________x28" localSheetId="0" hidden="1">#REF!</definedName>
    <definedName name="_________________x28" hidden="1">#REF!</definedName>
    <definedName name="_________________x29" localSheetId="0" hidden="1">#REF!</definedName>
    <definedName name="_________________x29" hidden="1">#REF!</definedName>
    <definedName name="_________________x32" localSheetId="0" hidden="1">#REF!</definedName>
    <definedName name="_________________x32" hidden="1">#REF!</definedName>
    <definedName name="_________________x4" localSheetId="0" hidden="1">#REF!</definedName>
    <definedName name="_________________x4" hidden="1">#REF!</definedName>
    <definedName name="_________________x5" localSheetId="0" hidden="1">#REF!</definedName>
    <definedName name="_________________x5" hidden="1">#REF!</definedName>
    <definedName name="_________________x6" localSheetId="0" hidden="1">#REF!</definedName>
    <definedName name="_________________x6" hidden="1">#REF!</definedName>
    <definedName name="_________________x7" localSheetId="0" hidden="1">#REF!</definedName>
    <definedName name="_________________x7" hidden="1">#REF!</definedName>
    <definedName name="_________________x8" localSheetId="0" hidden="1">#REF!</definedName>
    <definedName name="_________________x8" hidden="1">#REF!</definedName>
    <definedName name="_________________x9" localSheetId="0" hidden="1">#REF!</definedName>
    <definedName name="_________________x9" hidden="1">#REF!</definedName>
    <definedName name="________________INV12">#REF!</definedName>
    <definedName name="________________INV13">#REF!</definedName>
    <definedName name="________________inv2">#REF!</definedName>
    <definedName name="________________la29" localSheetId="27" hidden="1">#REF!</definedName>
    <definedName name="________________la29" localSheetId="0" hidden="1">#REF!</definedName>
    <definedName name="________________la29" hidden="1">#REF!</definedName>
    <definedName name="________________la3" localSheetId="27" hidden="1">#REF!</definedName>
    <definedName name="________________la3" localSheetId="0" hidden="1">#REF!</definedName>
    <definedName name="________________la3" hidden="1">#REF!</definedName>
    <definedName name="________________la31" localSheetId="27" hidden="1">#REF!</definedName>
    <definedName name="________________la31" localSheetId="0" hidden="1">#REF!</definedName>
    <definedName name="________________la31" hidden="1">#REF!</definedName>
    <definedName name="________________la32" localSheetId="0" hidden="1">#REF!</definedName>
    <definedName name="________________la32" hidden="1">#REF!</definedName>
    <definedName name="________________la4" localSheetId="0" hidden="1">#REF!</definedName>
    <definedName name="________________la4" hidden="1">#REF!</definedName>
    <definedName name="________________la5" localSheetId="0" hidden="1">#REF!</definedName>
    <definedName name="________________la5" hidden="1">#REF!</definedName>
    <definedName name="________________la6" localSheetId="0" hidden="1">#REF!</definedName>
    <definedName name="________________la6" hidden="1">#REF!</definedName>
    <definedName name="________________la7" localSheetId="0" hidden="1">#REF!</definedName>
    <definedName name="________________la7" hidden="1">#REF!</definedName>
    <definedName name="________________la8" localSheetId="0" hidden="1">#REF!</definedName>
    <definedName name="________________la8" hidden="1">#REF!</definedName>
    <definedName name="________________la9" localSheetId="0" hidden="1">#REF!</definedName>
    <definedName name="________________la9" hidden="1">#REF!</definedName>
    <definedName name="________________lb1" localSheetId="0" hidden="1">#REF!</definedName>
    <definedName name="________________lb1" hidden="1">#REF!</definedName>
    <definedName name="________________lb10" localSheetId="0" hidden="1">#REF!</definedName>
    <definedName name="________________lb10" hidden="1">#REF!</definedName>
    <definedName name="________________lb11" localSheetId="0" hidden="1">#REF!</definedName>
    <definedName name="________________lb11" hidden="1">#REF!</definedName>
    <definedName name="________________lb12" localSheetId="0" hidden="1">#REF!</definedName>
    <definedName name="________________lb12" hidden="1">#REF!</definedName>
    <definedName name="________________lb13" localSheetId="0" hidden="1">#REF!</definedName>
    <definedName name="________________lb13" hidden="1">#REF!</definedName>
    <definedName name="________________lb14" localSheetId="0" hidden="1">#REF!</definedName>
    <definedName name="________________lb14" hidden="1">#REF!</definedName>
    <definedName name="________________lb15" localSheetId="0" hidden="1">#REF!</definedName>
    <definedName name="________________lb15" hidden="1">#REF!</definedName>
    <definedName name="________________lb16" localSheetId="0" hidden="1">#REF!</definedName>
    <definedName name="________________lb16" hidden="1">#REF!</definedName>
    <definedName name="________________lb17" localSheetId="0" hidden="1">#REF!</definedName>
    <definedName name="________________lb17" hidden="1">#REF!</definedName>
    <definedName name="________________lb18" localSheetId="0" hidden="1">#REF!</definedName>
    <definedName name="________________lb18" hidden="1">#REF!</definedName>
    <definedName name="________________lb19" localSheetId="0" hidden="1">#REF!</definedName>
    <definedName name="________________lb19" hidden="1">#REF!</definedName>
    <definedName name="________________lb2" localSheetId="0" hidden="1">#REF!</definedName>
    <definedName name="________________lb2" hidden="1">#REF!</definedName>
    <definedName name="________________lb20" localSheetId="0" hidden="1">#REF!</definedName>
    <definedName name="________________lb20" hidden="1">#REF!</definedName>
    <definedName name="________________lb21" localSheetId="0" hidden="1">#REF!</definedName>
    <definedName name="________________lb21" hidden="1">#REF!</definedName>
    <definedName name="________________lb22" localSheetId="0" hidden="1">#REF!</definedName>
    <definedName name="________________lb22" hidden="1">#REF!</definedName>
    <definedName name="________________lb23" localSheetId="0" hidden="1">#REF!</definedName>
    <definedName name="________________lb23" hidden="1">#REF!</definedName>
    <definedName name="________________lb24" localSheetId="0" hidden="1">#REF!</definedName>
    <definedName name="________________lb24" hidden="1">#REF!</definedName>
    <definedName name="________________lb25" localSheetId="0" hidden="1">#REF!</definedName>
    <definedName name="________________lb25" hidden="1">#REF!</definedName>
    <definedName name="________________lb27" localSheetId="0" hidden="1">#REF!</definedName>
    <definedName name="________________lb27" hidden="1">#REF!</definedName>
    <definedName name="________________lb28" localSheetId="0" hidden="1">#REF!</definedName>
    <definedName name="________________lb28" hidden="1">#REF!</definedName>
    <definedName name="________________lb29" localSheetId="0" hidden="1">#REF!</definedName>
    <definedName name="________________lb29" hidden="1">#REF!</definedName>
    <definedName name="________________lb3" localSheetId="0" hidden="1">#REF!</definedName>
    <definedName name="________________lb3" hidden="1">#REF!</definedName>
    <definedName name="________________lb30" localSheetId="0" hidden="1">#REF!</definedName>
    <definedName name="________________lb30" hidden="1">#REF!</definedName>
    <definedName name="________________lb31" localSheetId="0" hidden="1">#REF!</definedName>
    <definedName name="________________lb31" hidden="1">#REF!</definedName>
    <definedName name="________________lb32" localSheetId="0" hidden="1">#REF!</definedName>
    <definedName name="________________lb32" hidden="1">#REF!</definedName>
    <definedName name="________________lb4" localSheetId="0" hidden="1">#REF!</definedName>
    <definedName name="________________lb4" hidden="1">#REF!</definedName>
    <definedName name="________________lb5" localSheetId="0" hidden="1">#REF!</definedName>
    <definedName name="________________lb5" hidden="1">#REF!</definedName>
    <definedName name="________________lb6" localSheetId="0" hidden="1">#REF!</definedName>
    <definedName name="________________lb6" hidden="1">#REF!</definedName>
    <definedName name="________________lb7" localSheetId="0" hidden="1">#REF!</definedName>
    <definedName name="________________lb7" hidden="1">#REF!</definedName>
    <definedName name="________________lb8" localSheetId="0" hidden="1">#REF!</definedName>
    <definedName name="________________lb8" hidden="1">#REF!</definedName>
    <definedName name="________________lb9" localSheetId="0" hidden="1">#REF!</definedName>
    <definedName name="________________lb9" hidden="1">#REF!</definedName>
    <definedName name="________________lbc1" localSheetId="0" hidden="1">#REF!</definedName>
    <definedName name="________________lbc1" hidden="1">#REF!</definedName>
    <definedName name="________________lbc10" localSheetId="0" hidden="1">#REF!</definedName>
    <definedName name="________________lbc10" hidden="1">#REF!</definedName>
    <definedName name="________________lbc11" localSheetId="0" hidden="1">#REF!</definedName>
    <definedName name="________________lbc11" hidden="1">#REF!</definedName>
    <definedName name="________________lbc12" localSheetId="0" hidden="1">#REF!</definedName>
    <definedName name="________________lbc12" hidden="1">#REF!</definedName>
    <definedName name="________________lbc13" localSheetId="0" hidden="1">#REF!</definedName>
    <definedName name="________________lbc13" hidden="1">#REF!</definedName>
    <definedName name="________________lbc14" localSheetId="0" hidden="1">#REF!</definedName>
    <definedName name="________________lbc14" hidden="1">#REF!</definedName>
    <definedName name="________________lbc15" localSheetId="0" hidden="1">#REF!</definedName>
    <definedName name="________________lbc15" hidden="1">#REF!</definedName>
    <definedName name="________________lbc16" localSheetId="0" hidden="1">#REF!</definedName>
    <definedName name="________________lbc16" hidden="1">#REF!</definedName>
    <definedName name="________________lbc17" localSheetId="0" hidden="1">#REF!</definedName>
    <definedName name="________________lbc17" hidden="1">#REF!</definedName>
    <definedName name="________________lbc18" localSheetId="0" hidden="1">#REF!</definedName>
    <definedName name="________________lbc18" hidden="1">#REF!</definedName>
    <definedName name="________________lbc19" localSheetId="0" hidden="1">#REF!</definedName>
    <definedName name="________________lbc19" hidden="1">#REF!</definedName>
    <definedName name="________________lbc2" localSheetId="0" hidden="1">#REF!</definedName>
    <definedName name="________________lbc2" hidden="1">#REF!</definedName>
    <definedName name="________________lbc20" localSheetId="0" hidden="1">#REF!</definedName>
    <definedName name="________________lbc20" hidden="1">#REF!</definedName>
    <definedName name="________________lbc21" localSheetId="0" hidden="1">#REF!</definedName>
    <definedName name="________________lbc21" hidden="1">#REF!</definedName>
    <definedName name="________________lbc22" localSheetId="0" hidden="1">#REF!</definedName>
    <definedName name="________________lbc22" hidden="1">#REF!</definedName>
    <definedName name="________________lbc23" localSheetId="0" hidden="1">#REF!</definedName>
    <definedName name="________________lbc23" hidden="1">#REF!</definedName>
    <definedName name="________________lbc24" localSheetId="0" hidden="1">#REF!</definedName>
    <definedName name="________________lbc24" hidden="1">#REF!</definedName>
    <definedName name="________________lbc25" localSheetId="0" hidden="1">#REF!</definedName>
    <definedName name="________________lbc25" hidden="1">#REF!</definedName>
    <definedName name="________________lbc26" localSheetId="0" hidden="1">#REF!</definedName>
    <definedName name="________________lbc26" hidden="1">#REF!</definedName>
    <definedName name="________________lbc27" localSheetId="0" hidden="1">#REF!</definedName>
    <definedName name="________________lbc27" hidden="1">#REF!</definedName>
    <definedName name="________________lbc28" localSheetId="0" hidden="1">#REF!</definedName>
    <definedName name="________________lbc28" hidden="1">#REF!</definedName>
    <definedName name="________________lbc29" localSheetId="0" hidden="1">#REF!</definedName>
    <definedName name="________________lbc29" hidden="1">#REF!</definedName>
    <definedName name="________________lbc3" localSheetId="0" hidden="1">#REF!</definedName>
    <definedName name="________________lbc3" hidden="1">#REF!</definedName>
    <definedName name="________________lbc31" localSheetId="0" hidden="1">#REF!</definedName>
    <definedName name="________________lbc31" hidden="1">#REF!</definedName>
    <definedName name="________________lbc32" localSheetId="0" hidden="1">#REF!</definedName>
    <definedName name="________________lbc32" hidden="1">#REF!</definedName>
    <definedName name="________________lbc4" localSheetId="0" hidden="1">#REF!</definedName>
    <definedName name="________________lbc4" hidden="1">#REF!</definedName>
    <definedName name="________________lbc5" localSheetId="0" hidden="1">#REF!</definedName>
    <definedName name="________________lbc5" hidden="1">#REF!</definedName>
    <definedName name="________________lbc6" localSheetId="0" hidden="1">#REF!</definedName>
    <definedName name="________________lbc6" hidden="1">#REF!</definedName>
    <definedName name="________________lbc7" localSheetId="0" hidden="1">#REF!</definedName>
    <definedName name="________________lbc7" hidden="1">#REF!</definedName>
    <definedName name="________________lbc8" localSheetId="0" hidden="1">#REF!</definedName>
    <definedName name="________________lbc8" hidden="1">#REF!</definedName>
    <definedName name="________________lbc9" localSheetId="0" hidden="1">#REF!</definedName>
    <definedName name="________________lbc9" hidden="1">#REF!</definedName>
    <definedName name="________________ld26" localSheetId="0" hidden="1">#REF!</definedName>
    <definedName name="________________ld26" hidden="1">#REF!</definedName>
    <definedName name="________________ld31" localSheetId="0" hidden="1">#REF!</definedName>
    <definedName name="________________ld31" hidden="1">#REF!</definedName>
    <definedName name="________________le31" localSheetId="0" hidden="1">#REF!</definedName>
    <definedName name="________________le31" hidden="1">#REF!</definedName>
    <definedName name="________________lf31" localSheetId="0" hidden="1">#REF!</definedName>
    <definedName name="________________lf31" hidden="1">#REF!</definedName>
    <definedName name="________________x10" localSheetId="0" hidden="1">#REF!</definedName>
    <definedName name="________________x10" hidden="1">#REF!</definedName>
    <definedName name="________________x11" localSheetId="0" hidden="1">#REF!</definedName>
    <definedName name="________________x11" hidden="1">#REF!</definedName>
    <definedName name="________________x12" localSheetId="0" hidden="1">#REF!</definedName>
    <definedName name="________________x12" hidden="1">#REF!</definedName>
    <definedName name="________________x13" localSheetId="0" hidden="1">#REF!</definedName>
    <definedName name="________________x13" hidden="1">#REF!</definedName>
    <definedName name="________________x14" localSheetId="0" hidden="1">#REF!</definedName>
    <definedName name="________________x14" hidden="1">#REF!</definedName>
    <definedName name="________________x15" localSheetId="0" hidden="1">#REF!</definedName>
    <definedName name="________________x15" hidden="1">#REF!</definedName>
    <definedName name="________________x16" localSheetId="0" hidden="1">#REF!</definedName>
    <definedName name="________________x16" hidden="1">#REF!</definedName>
    <definedName name="________________x17" localSheetId="0" hidden="1">#REF!</definedName>
    <definedName name="________________x17" hidden="1">#REF!</definedName>
    <definedName name="________________x18" localSheetId="0" hidden="1">#REF!</definedName>
    <definedName name="________________x18" hidden="1">#REF!</definedName>
    <definedName name="________________x19" localSheetId="0" hidden="1">#REF!</definedName>
    <definedName name="________________x19" hidden="1">#REF!</definedName>
    <definedName name="________________x20" localSheetId="0" hidden="1">#REF!</definedName>
    <definedName name="________________x20" hidden="1">#REF!</definedName>
    <definedName name="________________x21" localSheetId="0" hidden="1">#REF!</definedName>
    <definedName name="________________x21" hidden="1">#REF!</definedName>
    <definedName name="________________x22" localSheetId="0" hidden="1">#REF!</definedName>
    <definedName name="________________x22" hidden="1">#REF!</definedName>
    <definedName name="________________x23" localSheetId="0" hidden="1">#REF!</definedName>
    <definedName name="________________x23" hidden="1">#REF!</definedName>
    <definedName name="________________x24" localSheetId="0" hidden="1">#REF!</definedName>
    <definedName name="________________x24" hidden="1">#REF!</definedName>
    <definedName name="________________x25" localSheetId="0" hidden="1">#REF!</definedName>
    <definedName name="________________x25" hidden="1">#REF!</definedName>
    <definedName name="________________x28" localSheetId="0" hidden="1">#REF!</definedName>
    <definedName name="________________x28" hidden="1">#REF!</definedName>
    <definedName name="________________x29" localSheetId="0" hidden="1">#REF!</definedName>
    <definedName name="________________x29" hidden="1">#REF!</definedName>
    <definedName name="________________x32" localSheetId="0" hidden="1">#REF!</definedName>
    <definedName name="________________x32" hidden="1">#REF!</definedName>
    <definedName name="________________x4" localSheetId="0" hidden="1">#REF!</definedName>
    <definedName name="________________x4" hidden="1">#REF!</definedName>
    <definedName name="________________x5" localSheetId="0" hidden="1">#REF!</definedName>
    <definedName name="________________x5" hidden="1">#REF!</definedName>
    <definedName name="________________x6" localSheetId="0" hidden="1">#REF!</definedName>
    <definedName name="________________x6" hidden="1">#REF!</definedName>
    <definedName name="________________x7" localSheetId="0" hidden="1">#REF!</definedName>
    <definedName name="________________x7" hidden="1">#REF!</definedName>
    <definedName name="________________x8" localSheetId="0" hidden="1">#REF!</definedName>
    <definedName name="________________x8" hidden="1">#REF!</definedName>
    <definedName name="________________x9" localSheetId="0" hidden="1">#REF!</definedName>
    <definedName name="________________x9" hidden="1">#REF!</definedName>
    <definedName name="_______________INV12">#REF!</definedName>
    <definedName name="_______________INV13">#REF!</definedName>
    <definedName name="_______________inv2">#REF!</definedName>
    <definedName name="_______________la29" localSheetId="27" hidden="1">#REF!</definedName>
    <definedName name="_______________la29" localSheetId="0" hidden="1">#REF!</definedName>
    <definedName name="_______________la29" hidden="1">#REF!</definedName>
    <definedName name="_______________la3" localSheetId="27" hidden="1">#REF!</definedName>
    <definedName name="_______________la3" localSheetId="0" hidden="1">#REF!</definedName>
    <definedName name="_______________la3" hidden="1">#REF!</definedName>
    <definedName name="_______________la31" localSheetId="27" hidden="1">#REF!</definedName>
    <definedName name="_______________la31" localSheetId="0" hidden="1">#REF!</definedName>
    <definedName name="_______________la31" hidden="1">#REF!</definedName>
    <definedName name="_______________la32" localSheetId="0" hidden="1">#REF!</definedName>
    <definedName name="_______________la32" hidden="1">#REF!</definedName>
    <definedName name="_______________la4" localSheetId="0" hidden="1">#REF!</definedName>
    <definedName name="_______________la4" hidden="1">#REF!</definedName>
    <definedName name="_______________la5" localSheetId="0" hidden="1">#REF!</definedName>
    <definedName name="_______________la5" hidden="1">#REF!</definedName>
    <definedName name="_______________la6" localSheetId="0" hidden="1">#REF!</definedName>
    <definedName name="_______________la6" hidden="1">#REF!</definedName>
    <definedName name="_______________la7" localSheetId="0" hidden="1">#REF!</definedName>
    <definedName name="_______________la7" hidden="1">#REF!</definedName>
    <definedName name="_______________la8" localSheetId="0" hidden="1">#REF!</definedName>
    <definedName name="_______________la8" hidden="1">#REF!</definedName>
    <definedName name="_______________la9" localSheetId="0" hidden="1">#REF!</definedName>
    <definedName name="_______________la9" hidden="1">#REF!</definedName>
    <definedName name="_______________lb1" localSheetId="0" hidden="1">#REF!</definedName>
    <definedName name="_______________lb1" hidden="1">#REF!</definedName>
    <definedName name="_______________lb10" localSheetId="0" hidden="1">#REF!</definedName>
    <definedName name="_______________lb10" hidden="1">#REF!</definedName>
    <definedName name="_______________lb11" localSheetId="0" hidden="1">#REF!</definedName>
    <definedName name="_______________lb11" hidden="1">#REF!</definedName>
    <definedName name="_______________lb12" localSheetId="0" hidden="1">#REF!</definedName>
    <definedName name="_______________lb12" hidden="1">#REF!</definedName>
    <definedName name="_______________lb13" localSheetId="0" hidden="1">#REF!</definedName>
    <definedName name="_______________lb13" hidden="1">#REF!</definedName>
    <definedName name="_______________lb14" localSheetId="0" hidden="1">#REF!</definedName>
    <definedName name="_______________lb14" hidden="1">#REF!</definedName>
    <definedName name="_______________lb15" localSheetId="0" hidden="1">#REF!</definedName>
    <definedName name="_______________lb15" hidden="1">#REF!</definedName>
    <definedName name="_______________lb16" localSheetId="0" hidden="1">#REF!</definedName>
    <definedName name="_______________lb16" hidden="1">#REF!</definedName>
    <definedName name="_______________lb17" localSheetId="0" hidden="1">#REF!</definedName>
    <definedName name="_______________lb17" hidden="1">#REF!</definedName>
    <definedName name="_______________lb18" localSheetId="0" hidden="1">#REF!</definedName>
    <definedName name="_______________lb18" hidden="1">#REF!</definedName>
    <definedName name="_______________lb19" localSheetId="0" hidden="1">#REF!</definedName>
    <definedName name="_______________lb19" hidden="1">#REF!</definedName>
    <definedName name="_______________lb2" localSheetId="0" hidden="1">#REF!</definedName>
    <definedName name="_______________lb2" hidden="1">#REF!</definedName>
    <definedName name="_______________lb20" localSheetId="0" hidden="1">#REF!</definedName>
    <definedName name="_______________lb20" hidden="1">#REF!</definedName>
    <definedName name="_______________lb21" localSheetId="0" hidden="1">#REF!</definedName>
    <definedName name="_______________lb21" hidden="1">#REF!</definedName>
    <definedName name="_______________lb22" localSheetId="0" hidden="1">#REF!</definedName>
    <definedName name="_______________lb22" hidden="1">#REF!</definedName>
    <definedName name="_______________lb23" localSheetId="0" hidden="1">#REF!</definedName>
    <definedName name="_______________lb23" hidden="1">#REF!</definedName>
    <definedName name="_______________lb24" localSheetId="0" hidden="1">#REF!</definedName>
    <definedName name="_______________lb24" hidden="1">#REF!</definedName>
    <definedName name="_______________lb25" localSheetId="0" hidden="1">#REF!</definedName>
    <definedName name="_______________lb25" hidden="1">#REF!</definedName>
    <definedName name="_______________lb27" localSheetId="0" hidden="1">#REF!</definedName>
    <definedName name="_______________lb27" hidden="1">#REF!</definedName>
    <definedName name="_______________lb28" localSheetId="0" hidden="1">#REF!</definedName>
    <definedName name="_______________lb28" hidden="1">#REF!</definedName>
    <definedName name="_______________lb29" localSheetId="0" hidden="1">#REF!</definedName>
    <definedName name="_______________lb29" hidden="1">#REF!</definedName>
    <definedName name="_______________lb3" localSheetId="0" hidden="1">#REF!</definedName>
    <definedName name="_______________lb3" hidden="1">#REF!</definedName>
    <definedName name="_______________lb30" localSheetId="0" hidden="1">#REF!</definedName>
    <definedName name="_______________lb30" hidden="1">#REF!</definedName>
    <definedName name="_______________lb31" localSheetId="0" hidden="1">#REF!</definedName>
    <definedName name="_______________lb31" hidden="1">#REF!</definedName>
    <definedName name="_______________lb32" localSheetId="0" hidden="1">#REF!</definedName>
    <definedName name="_______________lb32" hidden="1">#REF!</definedName>
    <definedName name="_______________lb4" localSheetId="0" hidden="1">#REF!</definedName>
    <definedName name="_______________lb4" hidden="1">#REF!</definedName>
    <definedName name="_______________lb5" localSheetId="0" hidden="1">#REF!</definedName>
    <definedName name="_______________lb5" hidden="1">#REF!</definedName>
    <definedName name="_______________lb6" localSheetId="0" hidden="1">#REF!</definedName>
    <definedName name="_______________lb6" hidden="1">#REF!</definedName>
    <definedName name="_______________lb7" localSheetId="0" hidden="1">#REF!</definedName>
    <definedName name="_______________lb7" hidden="1">#REF!</definedName>
    <definedName name="_______________lb8" localSheetId="0" hidden="1">#REF!</definedName>
    <definedName name="_______________lb8" hidden="1">#REF!</definedName>
    <definedName name="_______________lb9" localSheetId="0" hidden="1">#REF!</definedName>
    <definedName name="_______________lb9" hidden="1">#REF!</definedName>
    <definedName name="_______________lbc1" localSheetId="0" hidden="1">#REF!</definedName>
    <definedName name="_______________lbc1" hidden="1">#REF!</definedName>
    <definedName name="_______________lbc10" localSheetId="0" hidden="1">#REF!</definedName>
    <definedName name="_______________lbc10" hidden="1">#REF!</definedName>
    <definedName name="_______________lbc11" localSheetId="0" hidden="1">#REF!</definedName>
    <definedName name="_______________lbc11" hidden="1">#REF!</definedName>
    <definedName name="_______________lbc12" localSheetId="0" hidden="1">#REF!</definedName>
    <definedName name="_______________lbc12" hidden="1">#REF!</definedName>
    <definedName name="_______________lbc13" localSheetId="0" hidden="1">#REF!</definedName>
    <definedName name="_______________lbc13" hidden="1">#REF!</definedName>
    <definedName name="_______________lbc14" localSheetId="0" hidden="1">#REF!</definedName>
    <definedName name="_______________lbc14" hidden="1">#REF!</definedName>
    <definedName name="_______________lbc15" localSheetId="0" hidden="1">#REF!</definedName>
    <definedName name="_______________lbc15" hidden="1">#REF!</definedName>
    <definedName name="_______________lbc16" localSheetId="0" hidden="1">#REF!</definedName>
    <definedName name="_______________lbc16" hidden="1">#REF!</definedName>
    <definedName name="_______________lbc17" localSheetId="0" hidden="1">#REF!</definedName>
    <definedName name="_______________lbc17" hidden="1">#REF!</definedName>
    <definedName name="_______________lbc18" localSheetId="0" hidden="1">#REF!</definedName>
    <definedName name="_______________lbc18" hidden="1">#REF!</definedName>
    <definedName name="_______________lbc19" localSheetId="0" hidden="1">#REF!</definedName>
    <definedName name="_______________lbc19" hidden="1">#REF!</definedName>
    <definedName name="_______________lbc2" localSheetId="0" hidden="1">#REF!</definedName>
    <definedName name="_______________lbc2" hidden="1">#REF!</definedName>
    <definedName name="_______________lbc20" localSheetId="0" hidden="1">#REF!</definedName>
    <definedName name="_______________lbc20" hidden="1">#REF!</definedName>
    <definedName name="_______________lbc21" localSheetId="0" hidden="1">#REF!</definedName>
    <definedName name="_______________lbc21" hidden="1">#REF!</definedName>
    <definedName name="_______________lbc22" localSheetId="0" hidden="1">#REF!</definedName>
    <definedName name="_______________lbc22" hidden="1">#REF!</definedName>
    <definedName name="_______________lbc23" localSheetId="0" hidden="1">#REF!</definedName>
    <definedName name="_______________lbc23" hidden="1">#REF!</definedName>
    <definedName name="_______________lbc24" localSheetId="0" hidden="1">#REF!</definedName>
    <definedName name="_______________lbc24" hidden="1">#REF!</definedName>
    <definedName name="_______________lbc25" localSheetId="0" hidden="1">#REF!</definedName>
    <definedName name="_______________lbc25" hidden="1">#REF!</definedName>
    <definedName name="_______________lbc26" localSheetId="0" hidden="1">#REF!</definedName>
    <definedName name="_______________lbc26" hidden="1">#REF!</definedName>
    <definedName name="_______________lbc27" localSheetId="0" hidden="1">#REF!</definedName>
    <definedName name="_______________lbc27" hidden="1">#REF!</definedName>
    <definedName name="_______________lbc28" localSheetId="0" hidden="1">#REF!</definedName>
    <definedName name="_______________lbc28" hidden="1">#REF!</definedName>
    <definedName name="_______________lbc29" localSheetId="0" hidden="1">#REF!</definedName>
    <definedName name="_______________lbc29" hidden="1">#REF!</definedName>
    <definedName name="_______________lbc3" localSheetId="0" hidden="1">#REF!</definedName>
    <definedName name="_______________lbc3" hidden="1">#REF!</definedName>
    <definedName name="_______________lbc31" localSheetId="0" hidden="1">#REF!</definedName>
    <definedName name="_______________lbc31" hidden="1">#REF!</definedName>
    <definedName name="_______________lbc32" localSheetId="0" hidden="1">#REF!</definedName>
    <definedName name="_______________lbc32" hidden="1">#REF!</definedName>
    <definedName name="_______________lbc4" localSheetId="0" hidden="1">#REF!</definedName>
    <definedName name="_______________lbc4" hidden="1">#REF!</definedName>
    <definedName name="_______________lbc5" localSheetId="0" hidden="1">#REF!</definedName>
    <definedName name="_______________lbc5" hidden="1">#REF!</definedName>
    <definedName name="_______________lbc6" localSheetId="0" hidden="1">#REF!</definedName>
    <definedName name="_______________lbc6" hidden="1">#REF!</definedName>
    <definedName name="_______________lbc7" localSheetId="0" hidden="1">#REF!</definedName>
    <definedName name="_______________lbc7" hidden="1">#REF!</definedName>
    <definedName name="_______________lbc8" localSheetId="0" hidden="1">#REF!</definedName>
    <definedName name="_______________lbc8" hidden="1">#REF!</definedName>
    <definedName name="_______________lbc9" localSheetId="0" hidden="1">#REF!</definedName>
    <definedName name="_______________lbc9" hidden="1">#REF!</definedName>
    <definedName name="_______________ld26" localSheetId="0" hidden="1">#REF!</definedName>
    <definedName name="_______________ld26" hidden="1">#REF!</definedName>
    <definedName name="_______________ld31" localSheetId="0" hidden="1">#REF!</definedName>
    <definedName name="_______________ld31" hidden="1">#REF!</definedName>
    <definedName name="_______________le31" localSheetId="0" hidden="1">#REF!</definedName>
    <definedName name="_______________le31" hidden="1">#REF!</definedName>
    <definedName name="_______________lf31" localSheetId="0" hidden="1">#REF!</definedName>
    <definedName name="_______________lf31" hidden="1">#REF!</definedName>
    <definedName name="_______________x10" localSheetId="0" hidden="1">#REF!</definedName>
    <definedName name="_______________x10" hidden="1">#REF!</definedName>
    <definedName name="_______________x11" localSheetId="0" hidden="1">#REF!</definedName>
    <definedName name="_______________x11" hidden="1">#REF!</definedName>
    <definedName name="_______________x12" localSheetId="0" hidden="1">#REF!</definedName>
    <definedName name="_______________x12" hidden="1">#REF!</definedName>
    <definedName name="_______________x13" localSheetId="0" hidden="1">#REF!</definedName>
    <definedName name="_______________x13" hidden="1">#REF!</definedName>
    <definedName name="_______________x14" localSheetId="0" hidden="1">#REF!</definedName>
    <definedName name="_______________x14" hidden="1">#REF!</definedName>
    <definedName name="_______________x15" localSheetId="0" hidden="1">#REF!</definedName>
    <definedName name="_______________x15" hidden="1">#REF!</definedName>
    <definedName name="_______________x16" localSheetId="0" hidden="1">#REF!</definedName>
    <definedName name="_______________x16" hidden="1">#REF!</definedName>
    <definedName name="_______________x17" localSheetId="0" hidden="1">#REF!</definedName>
    <definedName name="_______________x17" hidden="1">#REF!</definedName>
    <definedName name="_______________x18" localSheetId="0" hidden="1">#REF!</definedName>
    <definedName name="_______________x18" hidden="1">#REF!</definedName>
    <definedName name="_______________x19" localSheetId="0" hidden="1">#REF!</definedName>
    <definedName name="_______________x19" hidden="1">#REF!</definedName>
    <definedName name="_______________x20" localSheetId="0" hidden="1">#REF!</definedName>
    <definedName name="_______________x20" hidden="1">#REF!</definedName>
    <definedName name="_______________x21" localSheetId="0" hidden="1">#REF!</definedName>
    <definedName name="_______________x21" hidden="1">#REF!</definedName>
    <definedName name="_______________x22" localSheetId="0" hidden="1">#REF!</definedName>
    <definedName name="_______________x22" hidden="1">#REF!</definedName>
    <definedName name="_______________x23" localSheetId="0" hidden="1">#REF!</definedName>
    <definedName name="_______________x23" hidden="1">#REF!</definedName>
    <definedName name="_______________x24" localSheetId="0" hidden="1">#REF!</definedName>
    <definedName name="_______________x24" hidden="1">#REF!</definedName>
    <definedName name="_______________x25" localSheetId="0" hidden="1">#REF!</definedName>
    <definedName name="_______________x25" hidden="1">#REF!</definedName>
    <definedName name="_______________x28" localSheetId="0" hidden="1">#REF!</definedName>
    <definedName name="_______________x28" hidden="1">#REF!</definedName>
    <definedName name="_______________x29" localSheetId="0" hidden="1">#REF!</definedName>
    <definedName name="_______________x29" hidden="1">#REF!</definedName>
    <definedName name="_______________x32" localSheetId="0" hidden="1">#REF!</definedName>
    <definedName name="_______________x32" hidden="1">#REF!</definedName>
    <definedName name="_______________x4" localSheetId="0" hidden="1">#REF!</definedName>
    <definedName name="_______________x4" hidden="1">#REF!</definedName>
    <definedName name="_______________x5" localSheetId="0" hidden="1">#REF!</definedName>
    <definedName name="_______________x5" hidden="1">#REF!</definedName>
    <definedName name="_______________x6" localSheetId="0" hidden="1">#REF!</definedName>
    <definedName name="_______________x6" hidden="1">#REF!</definedName>
    <definedName name="_______________x7" localSheetId="0" hidden="1">#REF!</definedName>
    <definedName name="_______________x7" hidden="1">#REF!</definedName>
    <definedName name="_______________x8" localSheetId="0" hidden="1">#REF!</definedName>
    <definedName name="_______________x8" hidden="1">#REF!</definedName>
    <definedName name="_______________x9" localSheetId="0" hidden="1">#REF!</definedName>
    <definedName name="_______________x9" hidden="1">#REF!</definedName>
    <definedName name="______________INV12">#REF!</definedName>
    <definedName name="______________INV13">#REF!</definedName>
    <definedName name="______________inv2">#REF!</definedName>
    <definedName name="______________la29" localSheetId="27" hidden="1">#REF!</definedName>
    <definedName name="______________la29" localSheetId="0" hidden="1">#REF!</definedName>
    <definedName name="______________la29" hidden="1">#REF!</definedName>
    <definedName name="______________la3" localSheetId="27" hidden="1">#REF!</definedName>
    <definedName name="______________la3" localSheetId="0" hidden="1">#REF!</definedName>
    <definedName name="______________la3" hidden="1">#REF!</definedName>
    <definedName name="______________la31" localSheetId="27" hidden="1">#REF!</definedName>
    <definedName name="______________la31" localSheetId="0" hidden="1">#REF!</definedName>
    <definedName name="______________la31" hidden="1">#REF!</definedName>
    <definedName name="______________la32" localSheetId="0" hidden="1">#REF!</definedName>
    <definedName name="______________la32" hidden="1">#REF!</definedName>
    <definedName name="______________la4" localSheetId="0" hidden="1">#REF!</definedName>
    <definedName name="______________la4" hidden="1">#REF!</definedName>
    <definedName name="______________la5" localSheetId="0" hidden="1">#REF!</definedName>
    <definedName name="______________la5" hidden="1">#REF!</definedName>
    <definedName name="______________la6" localSheetId="0" hidden="1">#REF!</definedName>
    <definedName name="______________la6" hidden="1">#REF!</definedName>
    <definedName name="______________la7" localSheetId="0" hidden="1">#REF!</definedName>
    <definedName name="______________la7" hidden="1">#REF!</definedName>
    <definedName name="______________la8" localSheetId="0" hidden="1">#REF!</definedName>
    <definedName name="______________la8" hidden="1">#REF!</definedName>
    <definedName name="______________la9" localSheetId="0" hidden="1">#REF!</definedName>
    <definedName name="______________la9" hidden="1">#REF!</definedName>
    <definedName name="______________lb1" localSheetId="0" hidden="1">#REF!</definedName>
    <definedName name="______________lb1" hidden="1">#REF!</definedName>
    <definedName name="______________lb10" localSheetId="0" hidden="1">#REF!</definedName>
    <definedName name="______________lb10" hidden="1">#REF!</definedName>
    <definedName name="______________lb11" localSheetId="0" hidden="1">#REF!</definedName>
    <definedName name="______________lb11" hidden="1">#REF!</definedName>
    <definedName name="______________lb12" localSheetId="0" hidden="1">#REF!</definedName>
    <definedName name="______________lb12" hidden="1">#REF!</definedName>
    <definedName name="______________lb13" localSheetId="0" hidden="1">#REF!</definedName>
    <definedName name="______________lb13" hidden="1">#REF!</definedName>
    <definedName name="______________lb14" localSheetId="0" hidden="1">#REF!</definedName>
    <definedName name="______________lb14" hidden="1">#REF!</definedName>
    <definedName name="______________lb15" localSheetId="0" hidden="1">#REF!</definedName>
    <definedName name="______________lb15" hidden="1">#REF!</definedName>
    <definedName name="______________lb16" localSheetId="0" hidden="1">#REF!</definedName>
    <definedName name="______________lb16" hidden="1">#REF!</definedName>
    <definedName name="______________lb17" localSheetId="0" hidden="1">#REF!</definedName>
    <definedName name="______________lb17" hidden="1">#REF!</definedName>
    <definedName name="______________lb18" localSheetId="0" hidden="1">#REF!</definedName>
    <definedName name="______________lb18" hidden="1">#REF!</definedName>
    <definedName name="______________lb19" localSheetId="0" hidden="1">#REF!</definedName>
    <definedName name="______________lb19" hidden="1">#REF!</definedName>
    <definedName name="______________lb2" localSheetId="0" hidden="1">#REF!</definedName>
    <definedName name="______________lb2" hidden="1">#REF!</definedName>
    <definedName name="______________lb20" localSheetId="0" hidden="1">#REF!</definedName>
    <definedName name="______________lb20" hidden="1">#REF!</definedName>
    <definedName name="______________lb21" localSheetId="0" hidden="1">#REF!</definedName>
    <definedName name="______________lb21" hidden="1">#REF!</definedName>
    <definedName name="______________lb22" localSheetId="0" hidden="1">#REF!</definedName>
    <definedName name="______________lb22" hidden="1">#REF!</definedName>
    <definedName name="______________lb23" localSheetId="0" hidden="1">#REF!</definedName>
    <definedName name="______________lb23" hidden="1">#REF!</definedName>
    <definedName name="______________lb24" localSheetId="0" hidden="1">#REF!</definedName>
    <definedName name="______________lb24" hidden="1">#REF!</definedName>
    <definedName name="______________lb25" localSheetId="0" hidden="1">#REF!</definedName>
    <definedName name="______________lb25" hidden="1">#REF!</definedName>
    <definedName name="______________lb27" localSheetId="0" hidden="1">#REF!</definedName>
    <definedName name="______________lb27" hidden="1">#REF!</definedName>
    <definedName name="______________lb28" localSheetId="0" hidden="1">#REF!</definedName>
    <definedName name="______________lb28" hidden="1">#REF!</definedName>
    <definedName name="______________lb29" localSheetId="0" hidden="1">#REF!</definedName>
    <definedName name="______________lb29" hidden="1">#REF!</definedName>
    <definedName name="______________lb3" localSheetId="0" hidden="1">#REF!</definedName>
    <definedName name="______________lb3" hidden="1">#REF!</definedName>
    <definedName name="______________lb30" localSheetId="0" hidden="1">#REF!</definedName>
    <definedName name="______________lb30" hidden="1">#REF!</definedName>
    <definedName name="______________lb31" localSheetId="0" hidden="1">#REF!</definedName>
    <definedName name="______________lb31" hidden="1">#REF!</definedName>
    <definedName name="______________lb32" localSheetId="0" hidden="1">#REF!</definedName>
    <definedName name="______________lb32" hidden="1">#REF!</definedName>
    <definedName name="______________lb4" localSheetId="0" hidden="1">#REF!</definedName>
    <definedName name="______________lb4" hidden="1">#REF!</definedName>
    <definedName name="______________lb5" localSheetId="0" hidden="1">#REF!</definedName>
    <definedName name="______________lb5" hidden="1">#REF!</definedName>
    <definedName name="______________lb6" localSheetId="0" hidden="1">#REF!</definedName>
    <definedName name="______________lb6" hidden="1">#REF!</definedName>
    <definedName name="______________lb7" localSheetId="0" hidden="1">#REF!</definedName>
    <definedName name="______________lb7" hidden="1">#REF!</definedName>
    <definedName name="______________lb8" localSheetId="0" hidden="1">#REF!</definedName>
    <definedName name="______________lb8" hidden="1">#REF!</definedName>
    <definedName name="______________lb9" localSheetId="0" hidden="1">#REF!</definedName>
    <definedName name="______________lb9" hidden="1">#REF!</definedName>
    <definedName name="______________lbc1" localSheetId="0" hidden="1">#REF!</definedName>
    <definedName name="______________lbc1" hidden="1">#REF!</definedName>
    <definedName name="______________lbc10" localSheetId="0" hidden="1">#REF!</definedName>
    <definedName name="______________lbc10" hidden="1">#REF!</definedName>
    <definedName name="______________lbc11" localSheetId="0" hidden="1">#REF!</definedName>
    <definedName name="______________lbc11" hidden="1">#REF!</definedName>
    <definedName name="______________lbc12" localSheetId="0" hidden="1">#REF!</definedName>
    <definedName name="______________lbc12" hidden="1">#REF!</definedName>
    <definedName name="______________lbc13" localSheetId="0" hidden="1">#REF!</definedName>
    <definedName name="______________lbc13" hidden="1">#REF!</definedName>
    <definedName name="______________lbc14" localSheetId="0" hidden="1">#REF!</definedName>
    <definedName name="______________lbc14" hidden="1">#REF!</definedName>
    <definedName name="______________lbc15" localSheetId="0" hidden="1">#REF!</definedName>
    <definedName name="______________lbc15" hidden="1">#REF!</definedName>
    <definedName name="______________lbc16" localSheetId="0" hidden="1">#REF!</definedName>
    <definedName name="______________lbc16" hidden="1">#REF!</definedName>
    <definedName name="______________lbc17" localSheetId="0" hidden="1">#REF!</definedName>
    <definedName name="______________lbc17" hidden="1">#REF!</definedName>
    <definedName name="______________lbc18" localSheetId="0" hidden="1">#REF!</definedName>
    <definedName name="______________lbc18" hidden="1">#REF!</definedName>
    <definedName name="______________lbc19" localSheetId="0" hidden="1">#REF!</definedName>
    <definedName name="______________lbc19" hidden="1">#REF!</definedName>
    <definedName name="______________lbc2" localSheetId="0" hidden="1">#REF!</definedName>
    <definedName name="______________lbc2" hidden="1">#REF!</definedName>
    <definedName name="______________lbc20" localSheetId="0" hidden="1">#REF!</definedName>
    <definedName name="______________lbc20" hidden="1">#REF!</definedName>
    <definedName name="______________lbc21" localSheetId="0" hidden="1">#REF!</definedName>
    <definedName name="______________lbc21" hidden="1">#REF!</definedName>
    <definedName name="______________lbc22" localSheetId="0" hidden="1">#REF!</definedName>
    <definedName name="______________lbc22" hidden="1">#REF!</definedName>
    <definedName name="______________lbc23" localSheetId="0" hidden="1">#REF!</definedName>
    <definedName name="______________lbc23" hidden="1">#REF!</definedName>
    <definedName name="______________lbc24" localSheetId="0" hidden="1">#REF!</definedName>
    <definedName name="______________lbc24" hidden="1">#REF!</definedName>
    <definedName name="______________lbc25" localSheetId="0" hidden="1">#REF!</definedName>
    <definedName name="______________lbc25" hidden="1">#REF!</definedName>
    <definedName name="______________lbc26" localSheetId="0" hidden="1">#REF!</definedName>
    <definedName name="______________lbc26" hidden="1">#REF!</definedName>
    <definedName name="______________lbc27" localSheetId="0" hidden="1">#REF!</definedName>
    <definedName name="______________lbc27" hidden="1">#REF!</definedName>
    <definedName name="______________lbc28" localSheetId="0" hidden="1">#REF!</definedName>
    <definedName name="______________lbc28" hidden="1">#REF!</definedName>
    <definedName name="______________lbc29" localSheetId="0" hidden="1">#REF!</definedName>
    <definedName name="______________lbc29" hidden="1">#REF!</definedName>
    <definedName name="______________lbc3" localSheetId="0" hidden="1">#REF!</definedName>
    <definedName name="______________lbc3" hidden="1">#REF!</definedName>
    <definedName name="______________lbc31" localSheetId="0" hidden="1">#REF!</definedName>
    <definedName name="______________lbc31" hidden="1">#REF!</definedName>
    <definedName name="______________lbc32" localSheetId="0" hidden="1">#REF!</definedName>
    <definedName name="______________lbc32" hidden="1">#REF!</definedName>
    <definedName name="______________lbc4" localSheetId="0" hidden="1">#REF!</definedName>
    <definedName name="______________lbc4" hidden="1">#REF!</definedName>
    <definedName name="______________lbc5" localSheetId="0" hidden="1">#REF!</definedName>
    <definedName name="______________lbc5" hidden="1">#REF!</definedName>
    <definedName name="______________lbc6" localSheetId="0" hidden="1">#REF!</definedName>
    <definedName name="______________lbc6" hidden="1">#REF!</definedName>
    <definedName name="______________lbc7" localSheetId="0" hidden="1">#REF!</definedName>
    <definedName name="______________lbc7" hidden="1">#REF!</definedName>
    <definedName name="______________lbc8" localSheetId="0" hidden="1">#REF!</definedName>
    <definedName name="______________lbc8" hidden="1">#REF!</definedName>
    <definedName name="______________lbc9" localSheetId="0" hidden="1">#REF!</definedName>
    <definedName name="______________lbc9" hidden="1">#REF!</definedName>
    <definedName name="______________ld26" localSheetId="0" hidden="1">#REF!</definedName>
    <definedName name="______________ld26" hidden="1">#REF!</definedName>
    <definedName name="______________ld31" localSheetId="0" hidden="1">#REF!</definedName>
    <definedName name="______________ld31" hidden="1">#REF!</definedName>
    <definedName name="______________le31" localSheetId="0" hidden="1">#REF!</definedName>
    <definedName name="______________le31" hidden="1">#REF!</definedName>
    <definedName name="______________lf31" localSheetId="0" hidden="1">#REF!</definedName>
    <definedName name="______________lf31" hidden="1">#REF!</definedName>
    <definedName name="______________x10" localSheetId="0" hidden="1">#REF!</definedName>
    <definedName name="______________x10" hidden="1">#REF!</definedName>
    <definedName name="______________x11" localSheetId="0" hidden="1">#REF!</definedName>
    <definedName name="______________x11" hidden="1">#REF!</definedName>
    <definedName name="______________x12" localSheetId="0" hidden="1">#REF!</definedName>
    <definedName name="______________x12" hidden="1">#REF!</definedName>
    <definedName name="______________x13" localSheetId="0" hidden="1">#REF!</definedName>
    <definedName name="______________x13" hidden="1">#REF!</definedName>
    <definedName name="______________x14" localSheetId="0" hidden="1">#REF!</definedName>
    <definedName name="______________x14" hidden="1">#REF!</definedName>
    <definedName name="______________x15" localSheetId="0" hidden="1">#REF!</definedName>
    <definedName name="______________x15" hidden="1">#REF!</definedName>
    <definedName name="______________x16" localSheetId="0" hidden="1">#REF!</definedName>
    <definedName name="______________x16" hidden="1">#REF!</definedName>
    <definedName name="______________x17" localSheetId="0" hidden="1">#REF!</definedName>
    <definedName name="______________x17" hidden="1">#REF!</definedName>
    <definedName name="______________x18" localSheetId="0" hidden="1">#REF!</definedName>
    <definedName name="______________x18" hidden="1">#REF!</definedName>
    <definedName name="______________x19" localSheetId="0" hidden="1">#REF!</definedName>
    <definedName name="______________x19" hidden="1">#REF!</definedName>
    <definedName name="______________x20" localSheetId="0" hidden="1">#REF!</definedName>
    <definedName name="______________x20" hidden="1">#REF!</definedName>
    <definedName name="______________x21" localSheetId="0" hidden="1">#REF!</definedName>
    <definedName name="______________x21" hidden="1">#REF!</definedName>
    <definedName name="______________x22" localSheetId="0" hidden="1">#REF!</definedName>
    <definedName name="______________x22" hidden="1">#REF!</definedName>
    <definedName name="______________x23" localSheetId="0" hidden="1">#REF!</definedName>
    <definedName name="______________x23" hidden="1">#REF!</definedName>
    <definedName name="______________x24" localSheetId="0" hidden="1">#REF!</definedName>
    <definedName name="______________x24" hidden="1">#REF!</definedName>
    <definedName name="______________x25" localSheetId="0" hidden="1">#REF!</definedName>
    <definedName name="______________x25" hidden="1">#REF!</definedName>
    <definedName name="______________x28" localSheetId="0" hidden="1">#REF!</definedName>
    <definedName name="______________x28" hidden="1">#REF!</definedName>
    <definedName name="______________x29" localSheetId="0" hidden="1">#REF!</definedName>
    <definedName name="______________x29" hidden="1">#REF!</definedName>
    <definedName name="______________x32" localSheetId="0" hidden="1">#REF!</definedName>
    <definedName name="______________x32" hidden="1">#REF!</definedName>
    <definedName name="______________x4" localSheetId="0" hidden="1">#REF!</definedName>
    <definedName name="______________x4" hidden="1">#REF!</definedName>
    <definedName name="______________x5" localSheetId="0" hidden="1">#REF!</definedName>
    <definedName name="______________x5" hidden="1">#REF!</definedName>
    <definedName name="______________x6" localSheetId="0" hidden="1">#REF!</definedName>
    <definedName name="______________x6" hidden="1">#REF!</definedName>
    <definedName name="______________x7" localSheetId="0" hidden="1">#REF!</definedName>
    <definedName name="______________x7" hidden="1">#REF!</definedName>
    <definedName name="______________x8" localSheetId="0" hidden="1">#REF!</definedName>
    <definedName name="______________x8" hidden="1">#REF!</definedName>
    <definedName name="______________x9" localSheetId="0" hidden="1">#REF!</definedName>
    <definedName name="______________x9" hidden="1">#REF!</definedName>
    <definedName name="_____________INV12">#REF!</definedName>
    <definedName name="_____________INV13">#REF!</definedName>
    <definedName name="_____________inv2">#REF!</definedName>
    <definedName name="_____________la29" localSheetId="27" hidden="1">#REF!</definedName>
    <definedName name="_____________la29" localSheetId="0" hidden="1">#REF!</definedName>
    <definedName name="_____________la29" hidden="1">#REF!</definedName>
    <definedName name="_____________la3" localSheetId="27" hidden="1">#REF!</definedName>
    <definedName name="_____________la3" localSheetId="0" hidden="1">#REF!</definedName>
    <definedName name="_____________la3" hidden="1">#REF!</definedName>
    <definedName name="_____________la31" localSheetId="27" hidden="1">#REF!</definedName>
    <definedName name="_____________la31" localSheetId="0" hidden="1">#REF!</definedName>
    <definedName name="_____________la31" hidden="1">#REF!</definedName>
    <definedName name="_____________la32" localSheetId="0" hidden="1">#REF!</definedName>
    <definedName name="_____________la32" hidden="1">#REF!</definedName>
    <definedName name="_____________la4" localSheetId="0" hidden="1">#REF!</definedName>
    <definedName name="_____________la4" hidden="1">#REF!</definedName>
    <definedName name="_____________la5" localSheetId="0" hidden="1">#REF!</definedName>
    <definedName name="_____________la5" hidden="1">#REF!</definedName>
    <definedName name="_____________la6" localSheetId="0" hidden="1">#REF!</definedName>
    <definedName name="_____________la6" hidden="1">#REF!</definedName>
    <definedName name="_____________la7" localSheetId="0" hidden="1">#REF!</definedName>
    <definedName name="_____________la7" hidden="1">#REF!</definedName>
    <definedName name="_____________la8" localSheetId="0" hidden="1">#REF!</definedName>
    <definedName name="_____________la8" hidden="1">#REF!</definedName>
    <definedName name="_____________la9" localSheetId="0" hidden="1">#REF!</definedName>
    <definedName name="_____________la9" hidden="1">#REF!</definedName>
    <definedName name="_____________lb1" localSheetId="0" hidden="1">#REF!</definedName>
    <definedName name="_____________lb1" hidden="1">#REF!</definedName>
    <definedName name="_____________lb10" localSheetId="0" hidden="1">#REF!</definedName>
    <definedName name="_____________lb10" hidden="1">#REF!</definedName>
    <definedName name="_____________lb11" localSheetId="0" hidden="1">#REF!</definedName>
    <definedName name="_____________lb11" hidden="1">#REF!</definedName>
    <definedName name="_____________lb12" localSheetId="0" hidden="1">#REF!</definedName>
    <definedName name="_____________lb12" hidden="1">#REF!</definedName>
    <definedName name="_____________lb13" localSheetId="0" hidden="1">#REF!</definedName>
    <definedName name="_____________lb13" hidden="1">#REF!</definedName>
    <definedName name="_____________lb14" localSheetId="0" hidden="1">#REF!</definedName>
    <definedName name="_____________lb14" hidden="1">#REF!</definedName>
    <definedName name="_____________lb15" localSheetId="0" hidden="1">#REF!</definedName>
    <definedName name="_____________lb15" hidden="1">#REF!</definedName>
    <definedName name="_____________lb16" localSheetId="0" hidden="1">#REF!</definedName>
    <definedName name="_____________lb16" hidden="1">#REF!</definedName>
    <definedName name="_____________lb17" localSheetId="0" hidden="1">#REF!</definedName>
    <definedName name="_____________lb17" hidden="1">#REF!</definedName>
    <definedName name="_____________lb18" localSheetId="0" hidden="1">#REF!</definedName>
    <definedName name="_____________lb18" hidden="1">#REF!</definedName>
    <definedName name="_____________lb19" localSheetId="0" hidden="1">#REF!</definedName>
    <definedName name="_____________lb19" hidden="1">#REF!</definedName>
    <definedName name="_____________lb2" localSheetId="0" hidden="1">#REF!</definedName>
    <definedName name="_____________lb2" hidden="1">#REF!</definedName>
    <definedName name="_____________lb20" localSheetId="0" hidden="1">#REF!</definedName>
    <definedName name="_____________lb20" hidden="1">#REF!</definedName>
    <definedName name="_____________lb21" localSheetId="0" hidden="1">#REF!</definedName>
    <definedName name="_____________lb21" hidden="1">#REF!</definedName>
    <definedName name="_____________lb22" localSheetId="0" hidden="1">#REF!</definedName>
    <definedName name="_____________lb22" hidden="1">#REF!</definedName>
    <definedName name="_____________lb23" localSheetId="0" hidden="1">#REF!</definedName>
    <definedName name="_____________lb23" hidden="1">#REF!</definedName>
    <definedName name="_____________lb24" localSheetId="0" hidden="1">#REF!</definedName>
    <definedName name="_____________lb24" hidden="1">#REF!</definedName>
    <definedName name="_____________lb25" localSheetId="0" hidden="1">#REF!</definedName>
    <definedName name="_____________lb25" hidden="1">#REF!</definedName>
    <definedName name="_____________lb27" localSheetId="0" hidden="1">#REF!</definedName>
    <definedName name="_____________lb27" hidden="1">#REF!</definedName>
    <definedName name="_____________lb28" localSheetId="0" hidden="1">#REF!</definedName>
    <definedName name="_____________lb28" hidden="1">#REF!</definedName>
    <definedName name="_____________lb29" localSheetId="0" hidden="1">#REF!</definedName>
    <definedName name="_____________lb29" hidden="1">#REF!</definedName>
    <definedName name="_____________lb3" localSheetId="0" hidden="1">#REF!</definedName>
    <definedName name="_____________lb3" hidden="1">#REF!</definedName>
    <definedName name="_____________lb30" localSheetId="0" hidden="1">#REF!</definedName>
    <definedName name="_____________lb30" hidden="1">#REF!</definedName>
    <definedName name="_____________lb31" localSheetId="0" hidden="1">#REF!</definedName>
    <definedName name="_____________lb31" hidden="1">#REF!</definedName>
    <definedName name="_____________lb32" localSheetId="0" hidden="1">#REF!</definedName>
    <definedName name="_____________lb32" hidden="1">#REF!</definedName>
    <definedName name="_____________lb4" localSheetId="0" hidden="1">#REF!</definedName>
    <definedName name="_____________lb4" hidden="1">#REF!</definedName>
    <definedName name="_____________lb5" localSheetId="0" hidden="1">#REF!</definedName>
    <definedName name="_____________lb5" hidden="1">#REF!</definedName>
    <definedName name="_____________lb6" localSheetId="0" hidden="1">#REF!</definedName>
    <definedName name="_____________lb6" hidden="1">#REF!</definedName>
    <definedName name="_____________lb7" localSheetId="0" hidden="1">#REF!</definedName>
    <definedName name="_____________lb7" hidden="1">#REF!</definedName>
    <definedName name="_____________lb8" localSheetId="0" hidden="1">#REF!</definedName>
    <definedName name="_____________lb8" hidden="1">#REF!</definedName>
    <definedName name="_____________lb9" localSheetId="0" hidden="1">#REF!</definedName>
    <definedName name="_____________lb9" hidden="1">#REF!</definedName>
    <definedName name="_____________lbc1" localSheetId="0" hidden="1">#REF!</definedName>
    <definedName name="_____________lbc1" hidden="1">#REF!</definedName>
    <definedName name="_____________lbc10" localSheetId="0" hidden="1">#REF!</definedName>
    <definedName name="_____________lbc10" hidden="1">#REF!</definedName>
    <definedName name="_____________lbc11" localSheetId="0" hidden="1">#REF!</definedName>
    <definedName name="_____________lbc11" hidden="1">#REF!</definedName>
    <definedName name="_____________lbc12" localSheetId="0" hidden="1">#REF!</definedName>
    <definedName name="_____________lbc12" hidden="1">#REF!</definedName>
    <definedName name="_____________lbc13" localSheetId="0" hidden="1">#REF!</definedName>
    <definedName name="_____________lbc13" hidden="1">#REF!</definedName>
    <definedName name="_____________lbc14" localSheetId="0" hidden="1">#REF!</definedName>
    <definedName name="_____________lbc14" hidden="1">#REF!</definedName>
    <definedName name="_____________lbc15" localSheetId="0" hidden="1">#REF!</definedName>
    <definedName name="_____________lbc15" hidden="1">#REF!</definedName>
    <definedName name="_____________lbc16" localSheetId="0" hidden="1">#REF!</definedName>
    <definedName name="_____________lbc16" hidden="1">#REF!</definedName>
    <definedName name="_____________lbc17" localSheetId="0" hidden="1">#REF!</definedName>
    <definedName name="_____________lbc17" hidden="1">#REF!</definedName>
    <definedName name="_____________lbc18" localSheetId="0" hidden="1">#REF!</definedName>
    <definedName name="_____________lbc18" hidden="1">#REF!</definedName>
    <definedName name="_____________lbc19" localSheetId="0" hidden="1">#REF!</definedName>
    <definedName name="_____________lbc19" hidden="1">#REF!</definedName>
    <definedName name="_____________lbc2" localSheetId="0" hidden="1">#REF!</definedName>
    <definedName name="_____________lbc2" hidden="1">#REF!</definedName>
    <definedName name="_____________lbc20" localSheetId="0" hidden="1">#REF!</definedName>
    <definedName name="_____________lbc20" hidden="1">#REF!</definedName>
    <definedName name="_____________lbc21" localSheetId="0" hidden="1">#REF!</definedName>
    <definedName name="_____________lbc21" hidden="1">#REF!</definedName>
    <definedName name="_____________lbc22" localSheetId="0" hidden="1">#REF!</definedName>
    <definedName name="_____________lbc22" hidden="1">#REF!</definedName>
    <definedName name="_____________lbc23" localSheetId="0" hidden="1">#REF!</definedName>
    <definedName name="_____________lbc23" hidden="1">#REF!</definedName>
    <definedName name="_____________lbc24" localSheetId="0" hidden="1">#REF!</definedName>
    <definedName name="_____________lbc24" hidden="1">#REF!</definedName>
    <definedName name="_____________lbc25" localSheetId="0" hidden="1">#REF!</definedName>
    <definedName name="_____________lbc25" hidden="1">#REF!</definedName>
    <definedName name="_____________lbc26" localSheetId="0" hidden="1">#REF!</definedName>
    <definedName name="_____________lbc26" hidden="1">#REF!</definedName>
    <definedName name="_____________lbc27" localSheetId="0" hidden="1">#REF!</definedName>
    <definedName name="_____________lbc27" hidden="1">#REF!</definedName>
    <definedName name="_____________lbc28" localSheetId="0" hidden="1">#REF!</definedName>
    <definedName name="_____________lbc28" hidden="1">#REF!</definedName>
    <definedName name="_____________lbc29" localSheetId="0" hidden="1">#REF!</definedName>
    <definedName name="_____________lbc29" hidden="1">#REF!</definedName>
    <definedName name="_____________lbc3" localSheetId="0" hidden="1">#REF!</definedName>
    <definedName name="_____________lbc3" hidden="1">#REF!</definedName>
    <definedName name="_____________lbc31" localSheetId="0" hidden="1">#REF!</definedName>
    <definedName name="_____________lbc31" hidden="1">#REF!</definedName>
    <definedName name="_____________lbc32" localSheetId="0" hidden="1">#REF!</definedName>
    <definedName name="_____________lbc32" hidden="1">#REF!</definedName>
    <definedName name="_____________lbc4" localSheetId="0" hidden="1">#REF!</definedName>
    <definedName name="_____________lbc4" hidden="1">#REF!</definedName>
    <definedName name="_____________lbc5" localSheetId="0" hidden="1">#REF!</definedName>
    <definedName name="_____________lbc5" hidden="1">#REF!</definedName>
    <definedName name="_____________lbc6" localSheetId="0" hidden="1">#REF!</definedName>
    <definedName name="_____________lbc6" hidden="1">#REF!</definedName>
    <definedName name="_____________lbc7" localSheetId="0" hidden="1">#REF!</definedName>
    <definedName name="_____________lbc7" hidden="1">#REF!</definedName>
    <definedName name="_____________lbc8" localSheetId="0" hidden="1">#REF!</definedName>
    <definedName name="_____________lbc8" hidden="1">#REF!</definedName>
    <definedName name="_____________lbc9" localSheetId="0" hidden="1">#REF!</definedName>
    <definedName name="_____________lbc9" hidden="1">#REF!</definedName>
    <definedName name="_____________ld26" localSheetId="0" hidden="1">#REF!</definedName>
    <definedName name="_____________ld26" hidden="1">#REF!</definedName>
    <definedName name="_____________ld31" localSheetId="0" hidden="1">#REF!</definedName>
    <definedName name="_____________ld31" hidden="1">#REF!</definedName>
    <definedName name="_____________le31" localSheetId="0" hidden="1">#REF!</definedName>
    <definedName name="_____________le31" hidden="1">#REF!</definedName>
    <definedName name="_____________lf31" localSheetId="0" hidden="1">#REF!</definedName>
    <definedName name="_____________lf31" hidden="1">#REF!</definedName>
    <definedName name="_____________x10" localSheetId="0" hidden="1">#REF!</definedName>
    <definedName name="_____________x10" hidden="1">#REF!</definedName>
    <definedName name="_____________x11" localSheetId="0" hidden="1">#REF!</definedName>
    <definedName name="_____________x11" hidden="1">#REF!</definedName>
    <definedName name="_____________x12" localSheetId="0" hidden="1">#REF!</definedName>
    <definedName name="_____________x12" hidden="1">#REF!</definedName>
    <definedName name="_____________x13" localSheetId="0" hidden="1">#REF!</definedName>
    <definedName name="_____________x13" hidden="1">#REF!</definedName>
    <definedName name="_____________x14" localSheetId="0" hidden="1">#REF!</definedName>
    <definedName name="_____________x14" hidden="1">#REF!</definedName>
    <definedName name="_____________x15" localSheetId="0" hidden="1">#REF!</definedName>
    <definedName name="_____________x15" hidden="1">#REF!</definedName>
    <definedName name="_____________x16" localSheetId="0" hidden="1">#REF!</definedName>
    <definedName name="_____________x16" hidden="1">#REF!</definedName>
    <definedName name="_____________x17" localSheetId="0" hidden="1">#REF!</definedName>
    <definedName name="_____________x17" hidden="1">#REF!</definedName>
    <definedName name="_____________x18" localSheetId="0" hidden="1">#REF!</definedName>
    <definedName name="_____________x18" hidden="1">#REF!</definedName>
    <definedName name="_____________x19" localSheetId="0" hidden="1">#REF!</definedName>
    <definedName name="_____________x19" hidden="1">#REF!</definedName>
    <definedName name="_____________x20" localSheetId="0" hidden="1">#REF!</definedName>
    <definedName name="_____________x20" hidden="1">#REF!</definedName>
    <definedName name="_____________x21" localSheetId="0" hidden="1">#REF!</definedName>
    <definedName name="_____________x21" hidden="1">#REF!</definedName>
    <definedName name="_____________x22" localSheetId="0" hidden="1">#REF!</definedName>
    <definedName name="_____________x22" hidden="1">#REF!</definedName>
    <definedName name="_____________x23" localSheetId="0" hidden="1">#REF!</definedName>
    <definedName name="_____________x23" hidden="1">#REF!</definedName>
    <definedName name="_____________x24" localSheetId="0" hidden="1">#REF!</definedName>
    <definedName name="_____________x24" hidden="1">#REF!</definedName>
    <definedName name="_____________x25" localSheetId="0" hidden="1">#REF!</definedName>
    <definedName name="_____________x25" hidden="1">#REF!</definedName>
    <definedName name="_____________x28" localSheetId="0" hidden="1">#REF!</definedName>
    <definedName name="_____________x28" hidden="1">#REF!</definedName>
    <definedName name="_____________x29" localSheetId="0" hidden="1">#REF!</definedName>
    <definedName name="_____________x29" hidden="1">#REF!</definedName>
    <definedName name="_____________x32" localSheetId="0" hidden="1">#REF!</definedName>
    <definedName name="_____________x32" hidden="1">#REF!</definedName>
    <definedName name="_____________x4" localSheetId="0" hidden="1">#REF!</definedName>
    <definedName name="_____________x4" hidden="1">#REF!</definedName>
    <definedName name="_____________x5" localSheetId="0" hidden="1">#REF!</definedName>
    <definedName name="_____________x5" hidden="1">#REF!</definedName>
    <definedName name="_____________x6" localSheetId="0" hidden="1">#REF!</definedName>
    <definedName name="_____________x6" hidden="1">#REF!</definedName>
    <definedName name="_____________x7" localSheetId="0" hidden="1">#REF!</definedName>
    <definedName name="_____________x7" hidden="1">#REF!</definedName>
    <definedName name="_____________x8" localSheetId="0" hidden="1">#REF!</definedName>
    <definedName name="_____________x8" hidden="1">#REF!</definedName>
    <definedName name="_____________x9" localSheetId="0" hidden="1">#REF!</definedName>
    <definedName name="_____________x9" hidden="1">#REF!</definedName>
    <definedName name="____________INV12">#REF!</definedName>
    <definedName name="____________INV13">#REF!</definedName>
    <definedName name="____________inv2">#REF!</definedName>
    <definedName name="____________la29" localSheetId="27" hidden="1">#REF!</definedName>
    <definedName name="____________la29" localSheetId="0" hidden="1">#REF!</definedName>
    <definedName name="____________la29" hidden="1">#REF!</definedName>
    <definedName name="____________la3" localSheetId="27" hidden="1">#REF!</definedName>
    <definedName name="____________la3" localSheetId="0" hidden="1">#REF!</definedName>
    <definedName name="____________la3" hidden="1">#REF!</definedName>
    <definedName name="____________la31" localSheetId="27" hidden="1">#REF!</definedName>
    <definedName name="____________la31" localSheetId="0" hidden="1">#REF!</definedName>
    <definedName name="____________la31" hidden="1">#REF!</definedName>
    <definedName name="____________la32" localSheetId="0" hidden="1">#REF!</definedName>
    <definedName name="____________la32" hidden="1">#REF!</definedName>
    <definedName name="____________la4" localSheetId="0" hidden="1">#REF!</definedName>
    <definedName name="____________la4" hidden="1">#REF!</definedName>
    <definedName name="____________la5" localSheetId="0" hidden="1">#REF!</definedName>
    <definedName name="____________la5" hidden="1">#REF!</definedName>
    <definedName name="____________la6" localSheetId="0" hidden="1">#REF!</definedName>
    <definedName name="____________la6" hidden="1">#REF!</definedName>
    <definedName name="____________la7" localSheetId="0" hidden="1">#REF!</definedName>
    <definedName name="____________la7" hidden="1">#REF!</definedName>
    <definedName name="____________la8" localSheetId="0" hidden="1">#REF!</definedName>
    <definedName name="____________la8" hidden="1">#REF!</definedName>
    <definedName name="____________la9" localSheetId="0" hidden="1">#REF!</definedName>
    <definedName name="____________la9" hidden="1">#REF!</definedName>
    <definedName name="____________lb1" localSheetId="0" hidden="1">#REF!</definedName>
    <definedName name="____________lb1" hidden="1">#REF!</definedName>
    <definedName name="____________lb10" localSheetId="0" hidden="1">#REF!</definedName>
    <definedName name="____________lb10" hidden="1">#REF!</definedName>
    <definedName name="____________lb11" localSheetId="0" hidden="1">#REF!</definedName>
    <definedName name="____________lb11" hidden="1">#REF!</definedName>
    <definedName name="____________lb12" localSheetId="0" hidden="1">#REF!</definedName>
    <definedName name="____________lb12" hidden="1">#REF!</definedName>
    <definedName name="____________lb13" localSheetId="0" hidden="1">#REF!</definedName>
    <definedName name="____________lb13" hidden="1">#REF!</definedName>
    <definedName name="____________lb14" localSheetId="0" hidden="1">#REF!</definedName>
    <definedName name="____________lb14" hidden="1">#REF!</definedName>
    <definedName name="____________lb15" localSheetId="0" hidden="1">#REF!</definedName>
    <definedName name="____________lb15" hidden="1">#REF!</definedName>
    <definedName name="____________lb16" localSheetId="0" hidden="1">#REF!</definedName>
    <definedName name="____________lb16" hidden="1">#REF!</definedName>
    <definedName name="____________lb17" localSheetId="0" hidden="1">#REF!</definedName>
    <definedName name="____________lb17" hidden="1">#REF!</definedName>
    <definedName name="____________lb18" localSheetId="0" hidden="1">#REF!</definedName>
    <definedName name="____________lb18" hidden="1">#REF!</definedName>
    <definedName name="____________lb19" localSheetId="0" hidden="1">#REF!</definedName>
    <definedName name="____________lb19" hidden="1">#REF!</definedName>
    <definedName name="____________lb2" localSheetId="0" hidden="1">#REF!</definedName>
    <definedName name="____________lb2" hidden="1">#REF!</definedName>
    <definedName name="____________lb20" localSheetId="0" hidden="1">#REF!</definedName>
    <definedName name="____________lb20" hidden="1">#REF!</definedName>
    <definedName name="____________lb21" localSheetId="0" hidden="1">#REF!</definedName>
    <definedName name="____________lb21" hidden="1">#REF!</definedName>
    <definedName name="____________lb22" localSheetId="0" hidden="1">#REF!</definedName>
    <definedName name="____________lb22" hidden="1">#REF!</definedName>
    <definedName name="____________lb23" localSheetId="0" hidden="1">#REF!</definedName>
    <definedName name="____________lb23" hidden="1">#REF!</definedName>
    <definedName name="____________lb24" localSheetId="0" hidden="1">#REF!</definedName>
    <definedName name="____________lb24" hidden="1">#REF!</definedName>
    <definedName name="____________lb25" localSheetId="0" hidden="1">#REF!</definedName>
    <definedName name="____________lb25" hidden="1">#REF!</definedName>
    <definedName name="____________lb27" localSheetId="0" hidden="1">#REF!</definedName>
    <definedName name="____________lb27" hidden="1">#REF!</definedName>
    <definedName name="____________lb28" localSheetId="0" hidden="1">#REF!</definedName>
    <definedName name="____________lb28" hidden="1">#REF!</definedName>
    <definedName name="____________lb29" localSheetId="0" hidden="1">#REF!</definedName>
    <definedName name="____________lb29" hidden="1">#REF!</definedName>
    <definedName name="____________lb3" localSheetId="0" hidden="1">#REF!</definedName>
    <definedName name="____________lb3" hidden="1">#REF!</definedName>
    <definedName name="____________lb30" localSheetId="0" hidden="1">#REF!</definedName>
    <definedName name="____________lb30" hidden="1">#REF!</definedName>
    <definedName name="____________lb31" localSheetId="0" hidden="1">#REF!</definedName>
    <definedName name="____________lb31" hidden="1">#REF!</definedName>
    <definedName name="____________lb32" localSheetId="0" hidden="1">#REF!</definedName>
    <definedName name="____________lb32" hidden="1">#REF!</definedName>
    <definedName name="____________lb4" localSheetId="0" hidden="1">#REF!</definedName>
    <definedName name="____________lb4" hidden="1">#REF!</definedName>
    <definedName name="____________lb5" localSheetId="0" hidden="1">#REF!</definedName>
    <definedName name="____________lb5" hidden="1">#REF!</definedName>
    <definedName name="____________lb6" localSheetId="0" hidden="1">#REF!</definedName>
    <definedName name="____________lb6" hidden="1">#REF!</definedName>
    <definedName name="____________lb7" localSheetId="0" hidden="1">#REF!</definedName>
    <definedName name="____________lb7" hidden="1">#REF!</definedName>
    <definedName name="____________lb8" localSheetId="0" hidden="1">#REF!</definedName>
    <definedName name="____________lb8" hidden="1">#REF!</definedName>
    <definedName name="____________lb9" localSheetId="0" hidden="1">#REF!</definedName>
    <definedName name="____________lb9" hidden="1">#REF!</definedName>
    <definedName name="____________lbc1" localSheetId="0" hidden="1">#REF!</definedName>
    <definedName name="____________lbc1" hidden="1">#REF!</definedName>
    <definedName name="____________lbc10" localSheetId="0" hidden="1">#REF!</definedName>
    <definedName name="____________lbc10" hidden="1">#REF!</definedName>
    <definedName name="____________lbc11" localSheetId="0" hidden="1">#REF!</definedName>
    <definedName name="____________lbc11" hidden="1">#REF!</definedName>
    <definedName name="____________lbc12" localSheetId="0" hidden="1">#REF!</definedName>
    <definedName name="____________lbc12" hidden="1">#REF!</definedName>
    <definedName name="____________lbc13" localSheetId="0" hidden="1">#REF!</definedName>
    <definedName name="____________lbc13" hidden="1">#REF!</definedName>
    <definedName name="____________lbc14" localSheetId="0" hidden="1">#REF!</definedName>
    <definedName name="____________lbc14" hidden="1">#REF!</definedName>
    <definedName name="____________lbc15" localSheetId="0" hidden="1">#REF!</definedName>
    <definedName name="____________lbc15" hidden="1">#REF!</definedName>
    <definedName name="____________lbc16" localSheetId="0" hidden="1">#REF!</definedName>
    <definedName name="____________lbc16" hidden="1">#REF!</definedName>
    <definedName name="____________lbc17" localSheetId="0" hidden="1">#REF!</definedName>
    <definedName name="____________lbc17" hidden="1">#REF!</definedName>
    <definedName name="____________lbc18" localSheetId="0" hidden="1">#REF!</definedName>
    <definedName name="____________lbc18" hidden="1">#REF!</definedName>
    <definedName name="____________lbc19" localSheetId="0" hidden="1">#REF!</definedName>
    <definedName name="____________lbc19" hidden="1">#REF!</definedName>
    <definedName name="____________lbc2" localSheetId="0" hidden="1">#REF!</definedName>
    <definedName name="____________lbc2" hidden="1">#REF!</definedName>
    <definedName name="____________lbc20" localSheetId="0" hidden="1">#REF!</definedName>
    <definedName name="____________lbc20" hidden="1">#REF!</definedName>
    <definedName name="____________lbc21" localSheetId="0" hidden="1">#REF!</definedName>
    <definedName name="____________lbc21" hidden="1">#REF!</definedName>
    <definedName name="____________lbc22" localSheetId="0" hidden="1">#REF!</definedName>
    <definedName name="____________lbc22" hidden="1">#REF!</definedName>
    <definedName name="____________lbc23" localSheetId="0" hidden="1">#REF!</definedName>
    <definedName name="____________lbc23" hidden="1">#REF!</definedName>
    <definedName name="____________lbc24" localSheetId="0" hidden="1">#REF!</definedName>
    <definedName name="____________lbc24" hidden="1">#REF!</definedName>
    <definedName name="____________lbc25" localSheetId="0" hidden="1">#REF!</definedName>
    <definedName name="____________lbc25" hidden="1">#REF!</definedName>
    <definedName name="____________lbc26" localSheetId="0" hidden="1">#REF!</definedName>
    <definedName name="____________lbc26" hidden="1">#REF!</definedName>
    <definedName name="____________lbc27" localSheetId="0" hidden="1">#REF!</definedName>
    <definedName name="____________lbc27" hidden="1">#REF!</definedName>
    <definedName name="____________lbc28" localSheetId="0" hidden="1">#REF!</definedName>
    <definedName name="____________lbc28" hidden="1">#REF!</definedName>
    <definedName name="____________lbc29" localSheetId="0" hidden="1">#REF!</definedName>
    <definedName name="____________lbc29" hidden="1">#REF!</definedName>
    <definedName name="____________lbc3" localSheetId="0" hidden="1">#REF!</definedName>
    <definedName name="____________lbc3" hidden="1">#REF!</definedName>
    <definedName name="____________lbc31" localSheetId="0" hidden="1">#REF!</definedName>
    <definedName name="____________lbc31" hidden="1">#REF!</definedName>
    <definedName name="____________lbc32" localSheetId="0" hidden="1">#REF!</definedName>
    <definedName name="____________lbc32" hidden="1">#REF!</definedName>
    <definedName name="____________lbc4" localSheetId="0" hidden="1">#REF!</definedName>
    <definedName name="____________lbc4" hidden="1">#REF!</definedName>
    <definedName name="____________lbc5" localSheetId="0" hidden="1">#REF!</definedName>
    <definedName name="____________lbc5" hidden="1">#REF!</definedName>
    <definedName name="____________lbc6" localSheetId="0" hidden="1">#REF!</definedName>
    <definedName name="____________lbc6" hidden="1">#REF!</definedName>
    <definedName name="____________lbc7" localSheetId="0" hidden="1">#REF!</definedName>
    <definedName name="____________lbc7" hidden="1">#REF!</definedName>
    <definedName name="____________lbc8" localSheetId="0" hidden="1">#REF!</definedName>
    <definedName name="____________lbc8" hidden="1">#REF!</definedName>
    <definedName name="____________lbc9" localSheetId="0" hidden="1">#REF!</definedName>
    <definedName name="____________lbc9" hidden="1">#REF!</definedName>
    <definedName name="____________ld26" localSheetId="0" hidden="1">#REF!</definedName>
    <definedName name="____________ld26" hidden="1">#REF!</definedName>
    <definedName name="____________ld31" localSheetId="0" hidden="1">#REF!</definedName>
    <definedName name="____________ld31" hidden="1">#REF!</definedName>
    <definedName name="____________le31" localSheetId="0" hidden="1">#REF!</definedName>
    <definedName name="____________le31" hidden="1">#REF!</definedName>
    <definedName name="____________lf31" localSheetId="0" hidden="1">#REF!</definedName>
    <definedName name="____________lf31" hidden="1">#REF!</definedName>
    <definedName name="____________x10" localSheetId="0" hidden="1">#REF!</definedName>
    <definedName name="____________x10" hidden="1">#REF!</definedName>
    <definedName name="____________x11" localSheetId="0" hidden="1">#REF!</definedName>
    <definedName name="____________x11" hidden="1">#REF!</definedName>
    <definedName name="____________x12" localSheetId="0" hidden="1">#REF!</definedName>
    <definedName name="____________x12" hidden="1">#REF!</definedName>
    <definedName name="____________x13" localSheetId="0" hidden="1">#REF!</definedName>
    <definedName name="____________x13" hidden="1">#REF!</definedName>
    <definedName name="____________x14" localSheetId="0" hidden="1">#REF!</definedName>
    <definedName name="____________x14" hidden="1">#REF!</definedName>
    <definedName name="____________x15" localSheetId="0" hidden="1">#REF!</definedName>
    <definedName name="____________x15" hidden="1">#REF!</definedName>
    <definedName name="____________x16" localSheetId="0" hidden="1">#REF!</definedName>
    <definedName name="____________x16" hidden="1">#REF!</definedName>
    <definedName name="____________x17" localSheetId="0" hidden="1">#REF!</definedName>
    <definedName name="____________x17" hidden="1">#REF!</definedName>
    <definedName name="____________x18" localSheetId="0" hidden="1">#REF!</definedName>
    <definedName name="____________x18" hidden="1">#REF!</definedName>
    <definedName name="____________x19" localSheetId="0" hidden="1">#REF!</definedName>
    <definedName name="____________x19" hidden="1">#REF!</definedName>
    <definedName name="____________x20" localSheetId="0" hidden="1">#REF!</definedName>
    <definedName name="____________x20" hidden="1">#REF!</definedName>
    <definedName name="____________x21" localSheetId="0" hidden="1">#REF!</definedName>
    <definedName name="____________x21" hidden="1">#REF!</definedName>
    <definedName name="____________x22" localSheetId="0" hidden="1">#REF!</definedName>
    <definedName name="____________x22" hidden="1">#REF!</definedName>
    <definedName name="____________x23" localSheetId="0" hidden="1">#REF!</definedName>
    <definedName name="____________x23" hidden="1">#REF!</definedName>
    <definedName name="____________x24" localSheetId="0" hidden="1">#REF!</definedName>
    <definedName name="____________x24" hidden="1">#REF!</definedName>
    <definedName name="____________x25" localSheetId="0" hidden="1">#REF!</definedName>
    <definedName name="____________x25" hidden="1">#REF!</definedName>
    <definedName name="____________x28" localSheetId="0" hidden="1">#REF!</definedName>
    <definedName name="____________x28" hidden="1">#REF!</definedName>
    <definedName name="____________x29" localSheetId="0" hidden="1">#REF!</definedName>
    <definedName name="____________x29" hidden="1">#REF!</definedName>
    <definedName name="____________x32" localSheetId="0" hidden="1">#REF!</definedName>
    <definedName name="____________x32" hidden="1">#REF!</definedName>
    <definedName name="____________x4" localSheetId="0" hidden="1">#REF!</definedName>
    <definedName name="____________x4" hidden="1">#REF!</definedName>
    <definedName name="____________x5" localSheetId="0" hidden="1">#REF!</definedName>
    <definedName name="____________x5" hidden="1">#REF!</definedName>
    <definedName name="____________x6" localSheetId="0" hidden="1">#REF!</definedName>
    <definedName name="____________x6" hidden="1">#REF!</definedName>
    <definedName name="____________x7" localSheetId="0" hidden="1">#REF!</definedName>
    <definedName name="____________x7" hidden="1">#REF!</definedName>
    <definedName name="____________x8" localSheetId="0" hidden="1">#REF!</definedName>
    <definedName name="____________x8" hidden="1">#REF!</definedName>
    <definedName name="____________x9" localSheetId="0" hidden="1">#REF!</definedName>
    <definedName name="____________x9" hidden="1">#REF!</definedName>
    <definedName name="___________INV12">#REF!</definedName>
    <definedName name="___________INV13">#REF!</definedName>
    <definedName name="___________inv2">#REF!</definedName>
    <definedName name="___________la29" localSheetId="27" hidden="1">#REF!</definedName>
    <definedName name="___________la29" localSheetId="0" hidden="1">#REF!</definedName>
    <definedName name="___________la29" hidden="1">#REF!</definedName>
    <definedName name="___________la3" localSheetId="27" hidden="1">#REF!</definedName>
    <definedName name="___________la3" localSheetId="0" hidden="1">#REF!</definedName>
    <definedName name="___________la3" hidden="1">#REF!</definedName>
    <definedName name="___________la31" localSheetId="27" hidden="1">#REF!</definedName>
    <definedName name="___________la31" localSheetId="0" hidden="1">#REF!</definedName>
    <definedName name="___________la31" hidden="1">#REF!</definedName>
    <definedName name="___________la32" localSheetId="0" hidden="1">#REF!</definedName>
    <definedName name="___________la32" hidden="1">#REF!</definedName>
    <definedName name="___________la4" localSheetId="0" hidden="1">#REF!</definedName>
    <definedName name="___________la4" hidden="1">#REF!</definedName>
    <definedName name="___________la5" localSheetId="0" hidden="1">#REF!</definedName>
    <definedName name="___________la5" hidden="1">#REF!</definedName>
    <definedName name="___________la6" localSheetId="0" hidden="1">#REF!</definedName>
    <definedName name="___________la6" hidden="1">#REF!</definedName>
    <definedName name="___________la7" localSheetId="0" hidden="1">#REF!</definedName>
    <definedName name="___________la7" hidden="1">#REF!</definedName>
    <definedName name="___________la8" localSheetId="0" hidden="1">#REF!</definedName>
    <definedName name="___________la8" hidden="1">#REF!</definedName>
    <definedName name="___________la9" localSheetId="0" hidden="1">#REF!</definedName>
    <definedName name="___________la9" hidden="1">#REF!</definedName>
    <definedName name="___________lb1" localSheetId="0" hidden="1">#REF!</definedName>
    <definedName name="___________lb1" hidden="1">#REF!</definedName>
    <definedName name="___________lb10" localSheetId="0" hidden="1">#REF!</definedName>
    <definedName name="___________lb10" hidden="1">#REF!</definedName>
    <definedName name="___________lb11" localSheetId="0" hidden="1">#REF!</definedName>
    <definedName name="___________lb11" hidden="1">#REF!</definedName>
    <definedName name="___________lb12" localSheetId="0" hidden="1">#REF!</definedName>
    <definedName name="___________lb12" hidden="1">#REF!</definedName>
    <definedName name="___________lb13" localSheetId="0" hidden="1">#REF!</definedName>
    <definedName name="___________lb13" hidden="1">#REF!</definedName>
    <definedName name="___________lb14" localSheetId="0" hidden="1">#REF!</definedName>
    <definedName name="___________lb14" hidden="1">#REF!</definedName>
    <definedName name="___________lb15" localSheetId="0" hidden="1">#REF!</definedName>
    <definedName name="___________lb15" hidden="1">#REF!</definedName>
    <definedName name="___________lb16" localSheetId="0" hidden="1">#REF!</definedName>
    <definedName name="___________lb16" hidden="1">#REF!</definedName>
    <definedName name="___________lb17" localSheetId="0" hidden="1">#REF!</definedName>
    <definedName name="___________lb17" hidden="1">#REF!</definedName>
    <definedName name="___________lb18" localSheetId="0" hidden="1">#REF!</definedName>
    <definedName name="___________lb18" hidden="1">#REF!</definedName>
    <definedName name="___________lb19" localSheetId="0" hidden="1">#REF!</definedName>
    <definedName name="___________lb19" hidden="1">#REF!</definedName>
    <definedName name="___________lb2" localSheetId="0" hidden="1">#REF!</definedName>
    <definedName name="___________lb2" hidden="1">#REF!</definedName>
    <definedName name="___________lb20" localSheetId="0" hidden="1">#REF!</definedName>
    <definedName name="___________lb20" hidden="1">#REF!</definedName>
    <definedName name="___________lb21" localSheetId="0" hidden="1">#REF!</definedName>
    <definedName name="___________lb21" hidden="1">#REF!</definedName>
    <definedName name="___________lb22" localSheetId="0" hidden="1">#REF!</definedName>
    <definedName name="___________lb22" hidden="1">#REF!</definedName>
    <definedName name="___________lb23" localSheetId="0" hidden="1">#REF!</definedName>
    <definedName name="___________lb23" hidden="1">#REF!</definedName>
    <definedName name="___________lb24" localSheetId="0" hidden="1">#REF!</definedName>
    <definedName name="___________lb24" hidden="1">#REF!</definedName>
    <definedName name="___________lb25" localSheetId="0" hidden="1">#REF!</definedName>
    <definedName name="___________lb25" hidden="1">#REF!</definedName>
    <definedName name="___________lb27" localSheetId="0" hidden="1">#REF!</definedName>
    <definedName name="___________lb27" hidden="1">#REF!</definedName>
    <definedName name="___________lb28" localSheetId="0" hidden="1">#REF!</definedName>
    <definedName name="___________lb28" hidden="1">#REF!</definedName>
    <definedName name="___________lb29" localSheetId="0" hidden="1">#REF!</definedName>
    <definedName name="___________lb29" hidden="1">#REF!</definedName>
    <definedName name="___________lb3" localSheetId="0" hidden="1">#REF!</definedName>
    <definedName name="___________lb3" hidden="1">#REF!</definedName>
    <definedName name="___________lb30" localSheetId="0" hidden="1">#REF!</definedName>
    <definedName name="___________lb30" hidden="1">#REF!</definedName>
    <definedName name="___________lb31" localSheetId="0" hidden="1">#REF!</definedName>
    <definedName name="___________lb31" hidden="1">#REF!</definedName>
    <definedName name="___________lb32" localSheetId="0" hidden="1">#REF!</definedName>
    <definedName name="___________lb32" hidden="1">#REF!</definedName>
    <definedName name="___________lb4" localSheetId="0" hidden="1">#REF!</definedName>
    <definedName name="___________lb4" hidden="1">#REF!</definedName>
    <definedName name="___________lb5" localSheetId="0" hidden="1">#REF!</definedName>
    <definedName name="___________lb5" hidden="1">#REF!</definedName>
    <definedName name="___________lb6" localSheetId="0" hidden="1">#REF!</definedName>
    <definedName name="___________lb6" hidden="1">#REF!</definedName>
    <definedName name="___________lb7" localSheetId="0" hidden="1">#REF!</definedName>
    <definedName name="___________lb7" hidden="1">#REF!</definedName>
    <definedName name="___________lb8" localSheetId="0" hidden="1">#REF!</definedName>
    <definedName name="___________lb8" hidden="1">#REF!</definedName>
    <definedName name="___________lb9" localSheetId="0" hidden="1">#REF!</definedName>
    <definedName name="___________lb9" hidden="1">#REF!</definedName>
    <definedName name="___________lbc1" localSheetId="0" hidden="1">#REF!</definedName>
    <definedName name="___________lbc1" hidden="1">#REF!</definedName>
    <definedName name="___________lbc10" localSheetId="0" hidden="1">#REF!</definedName>
    <definedName name="___________lbc10" hidden="1">#REF!</definedName>
    <definedName name="___________lbc11" localSheetId="0" hidden="1">#REF!</definedName>
    <definedName name="___________lbc11" hidden="1">#REF!</definedName>
    <definedName name="___________lbc12" localSheetId="0" hidden="1">#REF!</definedName>
    <definedName name="___________lbc12" hidden="1">#REF!</definedName>
    <definedName name="___________lbc13" localSheetId="0" hidden="1">#REF!</definedName>
    <definedName name="___________lbc13" hidden="1">#REF!</definedName>
    <definedName name="___________lbc14" localSheetId="0" hidden="1">#REF!</definedName>
    <definedName name="___________lbc14" hidden="1">#REF!</definedName>
    <definedName name="___________lbc15" localSheetId="0" hidden="1">#REF!</definedName>
    <definedName name="___________lbc15" hidden="1">#REF!</definedName>
    <definedName name="___________lbc16" localSheetId="0" hidden="1">#REF!</definedName>
    <definedName name="___________lbc16" hidden="1">#REF!</definedName>
    <definedName name="___________lbc17" localSheetId="0" hidden="1">#REF!</definedName>
    <definedName name="___________lbc17" hidden="1">#REF!</definedName>
    <definedName name="___________lbc18" localSheetId="0" hidden="1">#REF!</definedName>
    <definedName name="___________lbc18" hidden="1">#REF!</definedName>
    <definedName name="___________lbc19" localSheetId="0" hidden="1">#REF!</definedName>
    <definedName name="___________lbc19" hidden="1">#REF!</definedName>
    <definedName name="___________lbc2" localSheetId="0" hidden="1">#REF!</definedName>
    <definedName name="___________lbc2" hidden="1">#REF!</definedName>
    <definedName name="___________lbc20" localSheetId="0" hidden="1">#REF!</definedName>
    <definedName name="___________lbc20" hidden="1">#REF!</definedName>
    <definedName name="___________lbc21" localSheetId="0" hidden="1">#REF!</definedName>
    <definedName name="___________lbc21" hidden="1">#REF!</definedName>
    <definedName name="___________lbc22" localSheetId="0" hidden="1">#REF!</definedName>
    <definedName name="___________lbc22" hidden="1">#REF!</definedName>
    <definedName name="___________lbc23" localSheetId="0" hidden="1">#REF!</definedName>
    <definedName name="___________lbc23" hidden="1">#REF!</definedName>
    <definedName name="___________lbc24" localSheetId="0" hidden="1">#REF!</definedName>
    <definedName name="___________lbc24" hidden="1">#REF!</definedName>
    <definedName name="___________lbc25" localSheetId="0" hidden="1">#REF!</definedName>
    <definedName name="___________lbc25" hidden="1">#REF!</definedName>
    <definedName name="___________lbc26" localSheetId="0" hidden="1">#REF!</definedName>
    <definedName name="___________lbc26" hidden="1">#REF!</definedName>
    <definedName name="___________lbc27" localSheetId="0" hidden="1">#REF!</definedName>
    <definedName name="___________lbc27" hidden="1">#REF!</definedName>
    <definedName name="___________lbc28" localSheetId="0" hidden="1">#REF!</definedName>
    <definedName name="___________lbc28" hidden="1">#REF!</definedName>
    <definedName name="___________lbc29" localSheetId="0" hidden="1">#REF!</definedName>
    <definedName name="___________lbc29" hidden="1">#REF!</definedName>
    <definedName name="___________lbc3" localSheetId="0" hidden="1">#REF!</definedName>
    <definedName name="___________lbc3" hidden="1">#REF!</definedName>
    <definedName name="___________lbc31" localSheetId="0" hidden="1">#REF!</definedName>
    <definedName name="___________lbc31" hidden="1">#REF!</definedName>
    <definedName name="___________lbc32" localSheetId="0" hidden="1">#REF!</definedName>
    <definedName name="___________lbc32" hidden="1">#REF!</definedName>
    <definedName name="___________lbc4" localSheetId="0" hidden="1">#REF!</definedName>
    <definedName name="___________lbc4" hidden="1">#REF!</definedName>
    <definedName name="___________lbc5" localSheetId="0" hidden="1">#REF!</definedName>
    <definedName name="___________lbc5" hidden="1">#REF!</definedName>
    <definedName name="___________lbc6" localSheetId="0" hidden="1">#REF!</definedName>
    <definedName name="___________lbc6" hidden="1">#REF!</definedName>
    <definedName name="___________lbc7" localSheetId="0" hidden="1">#REF!</definedName>
    <definedName name="___________lbc7" hidden="1">#REF!</definedName>
    <definedName name="___________lbc8" localSheetId="0" hidden="1">#REF!</definedName>
    <definedName name="___________lbc8" hidden="1">#REF!</definedName>
    <definedName name="___________lbc9" localSheetId="0" hidden="1">#REF!</definedName>
    <definedName name="___________lbc9" hidden="1">#REF!</definedName>
    <definedName name="___________ld26" localSheetId="0" hidden="1">#REF!</definedName>
    <definedName name="___________ld26" hidden="1">#REF!</definedName>
    <definedName name="___________ld31" localSheetId="0" hidden="1">#REF!</definedName>
    <definedName name="___________ld31" hidden="1">#REF!</definedName>
    <definedName name="___________le31" localSheetId="0" hidden="1">#REF!</definedName>
    <definedName name="___________le31" hidden="1">#REF!</definedName>
    <definedName name="___________lf31" localSheetId="0" hidden="1">#REF!</definedName>
    <definedName name="___________lf31" hidden="1">#REF!</definedName>
    <definedName name="___________x10" localSheetId="0" hidden="1">#REF!</definedName>
    <definedName name="___________x10" hidden="1">#REF!</definedName>
    <definedName name="___________x11" localSheetId="0" hidden="1">#REF!</definedName>
    <definedName name="___________x11" hidden="1">#REF!</definedName>
    <definedName name="___________x12" localSheetId="0" hidden="1">#REF!</definedName>
    <definedName name="___________x12" hidden="1">#REF!</definedName>
    <definedName name="___________x13" localSheetId="0" hidden="1">#REF!</definedName>
    <definedName name="___________x13" hidden="1">#REF!</definedName>
    <definedName name="___________x14" localSheetId="0" hidden="1">#REF!</definedName>
    <definedName name="___________x14" hidden="1">#REF!</definedName>
    <definedName name="___________x15" localSheetId="0" hidden="1">#REF!</definedName>
    <definedName name="___________x15" hidden="1">#REF!</definedName>
    <definedName name="___________x16" localSheetId="0" hidden="1">#REF!</definedName>
    <definedName name="___________x16" hidden="1">#REF!</definedName>
    <definedName name="___________x17" localSheetId="0" hidden="1">#REF!</definedName>
    <definedName name="___________x17" hidden="1">#REF!</definedName>
    <definedName name="___________x18" localSheetId="0" hidden="1">#REF!</definedName>
    <definedName name="___________x18" hidden="1">#REF!</definedName>
    <definedName name="___________x19" localSheetId="0" hidden="1">#REF!</definedName>
    <definedName name="___________x19" hidden="1">#REF!</definedName>
    <definedName name="___________x20" localSheetId="0" hidden="1">#REF!</definedName>
    <definedName name="___________x20" hidden="1">#REF!</definedName>
    <definedName name="___________x21" localSheetId="0" hidden="1">#REF!</definedName>
    <definedName name="___________x21" hidden="1">#REF!</definedName>
    <definedName name="___________x22" localSheetId="0" hidden="1">#REF!</definedName>
    <definedName name="___________x22" hidden="1">#REF!</definedName>
    <definedName name="___________x23" localSheetId="0" hidden="1">#REF!</definedName>
    <definedName name="___________x23" hidden="1">#REF!</definedName>
    <definedName name="___________x24" localSheetId="0" hidden="1">#REF!</definedName>
    <definedName name="___________x24" hidden="1">#REF!</definedName>
    <definedName name="___________x25" localSheetId="0" hidden="1">#REF!</definedName>
    <definedName name="___________x25" hidden="1">#REF!</definedName>
    <definedName name="___________x28" localSheetId="0" hidden="1">#REF!</definedName>
    <definedName name="___________x28" hidden="1">#REF!</definedName>
    <definedName name="___________x29" localSheetId="0" hidden="1">#REF!</definedName>
    <definedName name="___________x29" hidden="1">#REF!</definedName>
    <definedName name="___________x32" localSheetId="0" hidden="1">#REF!</definedName>
    <definedName name="___________x32" hidden="1">#REF!</definedName>
    <definedName name="___________x4" localSheetId="0" hidden="1">#REF!</definedName>
    <definedName name="___________x4" hidden="1">#REF!</definedName>
    <definedName name="___________x5" localSheetId="0" hidden="1">#REF!</definedName>
    <definedName name="___________x5" hidden="1">#REF!</definedName>
    <definedName name="___________x6" localSheetId="0" hidden="1">#REF!</definedName>
    <definedName name="___________x6" hidden="1">#REF!</definedName>
    <definedName name="___________x7" localSheetId="0" hidden="1">#REF!</definedName>
    <definedName name="___________x7" hidden="1">#REF!</definedName>
    <definedName name="___________x8" localSheetId="0" hidden="1">#REF!</definedName>
    <definedName name="___________x8" hidden="1">#REF!</definedName>
    <definedName name="___________x9" localSheetId="0" hidden="1">#REF!</definedName>
    <definedName name="___________x9" hidden="1">#REF!</definedName>
    <definedName name="__________INV12">#REF!</definedName>
    <definedName name="__________INV13">#REF!</definedName>
    <definedName name="__________inv2">#REF!</definedName>
    <definedName name="__________la29" localSheetId="27" hidden="1">#REF!</definedName>
    <definedName name="__________la29" localSheetId="0" hidden="1">#REF!</definedName>
    <definedName name="__________la29" hidden="1">#REF!</definedName>
    <definedName name="__________la3" localSheetId="27" hidden="1">#REF!</definedName>
    <definedName name="__________la3" localSheetId="0" hidden="1">#REF!</definedName>
    <definedName name="__________la3" hidden="1">#REF!</definedName>
    <definedName name="__________la31" localSheetId="27" hidden="1">#REF!</definedName>
    <definedName name="__________la31" localSheetId="0" hidden="1">#REF!</definedName>
    <definedName name="__________la31" hidden="1">#REF!</definedName>
    <definedName name="__________la32" localSheetId="0" hidden="1">#REF!</definedName>
    <definedName name="__________la32" hidden="1">#REF!</definedName>
    <definedName name="__________la4" localSheetId="0" hidden="1">#REF!</definedName>
    <definedName name="__________la4" hidden="1">#REF!</definedName>
    <definedName name="__________la5" localSheetId="0" hidden="1">#REF!</definedName>
    <definedName name="__________la5" hidden="1">#REF!</definedName>
    <definedName name="__________la6" localSheetId="0" hidden="1">#REF!</definedName>
    <definedName name="__________la6" hidden="1">#REF!</definedName>
    <definedName name="__________la7" localSheetId="0" hidden="1">#REF!</definedName>
    <definedName name="__________la7" hidden="1">#REF!</definedName>
    <definedName name="__________la8" localSheetId="0" hidden="1">#REF!</definedName>
    <definedName name="__________la8" hidden="1">#REF!</definedName>
    <definedName name="__________la9" localSheetId="0" hidden="1">#REF!</definedName>
    <definedName name="__________la9" hidden="1">#REF!</definedName>
    <definedName name="__________lb1" localSheetId="0" hidden="1">#REF!</definedName>
    <definedName name="__________lb1" hidden="1">#REF!</definedName>
    <definedName name="__________lb10" localSheetId="0" hidden="1">#REF!</definedName>
    <definedName name="__________lb10" hidden="1">#REF!</definedName>
    <definedName name="__________lb11" localSheetId="0" hidden="1">#REF!</definedName>
    <definedName name="__________lb11" hidden="1">#REF!</definedName>
    <definedName name="__________lb12" localSheetId="0" hidden="1">#REF!</definedName>
    <definedName name="__________lb12" hidden="1">#REF!</definedName>
    <definedName name="__________lb13" localSheetId="0" hidden="1">#REF!</definedName>
    <definedName name="__________lb13" hidden="1">#REF!</definedName>
    <definedName name="__________lb14" localSheetId="0" hidden="1">#REF!</definedName>
    <definedName name="__________lb14" hidden="1">#REF!</definedName>
    <definedName name="__________lb15" localSheetId="0" hidden="1">#REF!</definedName>
    <definedName name="__________lb15" hidden="1">#REF!</definedName>
    <definedName name="__________lb16" localSheetId="0" hidden="1">#REF!</definedName>
    <definedName name="__________lb16" hidden="1">#REF!</definedName>
    <definedName name="__________lb17" localSheetId="0" hidden="1">#REF!</definedName>
    <definedName name="__________lb17" hidden="1">#REF!</definedName>
    <definedName name="__________lb18" localSheetId="0" hidden="1">#REF!</definedName>
    <definedName name="__________lb18" hidden="1">#REF!</definedName>
    <definedName name="__________lb19" localSheetId="0" hidden="1">#REF!</definedName>
    <definedName name="__________lb19" hidden="1">#REF!</definedName>
    <definedName name="__________lb2" localSheetId="0" hidden="1">#REF!</definedName>
    <definedName name="__________lb2" hidden="1">#REF!</definedName>
    <definedName name="__________lb20" localSheetId="0" hidden="1">#REF!</definedName>
    <definedName name="__________lb20" hidden="1">#REF!</definedName>
    <definedName name="__________lb21" localSheetId="0" hidden="1">#REF!</definedName>
    <definedName name="__________lb21" hidden="1">#REF!</definedName>
    <definedName name="__________lb22" localSheetId="0" hidden="1">#REF!</definedName>
    <definedName name="__________lb22" hidden="1">#REF!</definedName>
    <definedName name="__________lb23" localSheetId="0" hidden="1">#REF!</definedName>
    <definedName name="__________lb23" hidden="1">#REF!</definedName>
    <definedName name="__________lb24" localSheetId="0" hidden="1">#REF!</definedName>
    <definedName name="__________lb24" hidden="1">#REF!</definedName>
    <definedName name="__________lb25" localSheetId="0" hidden="1">#REF!</definedName>
    <definedName name="__________lb25" hidden="1">#REF!</definedName>
    <definedName name="__________lb27" localSheetId="0" hidden="1">#REF!</definedName>
    <definedName name="__________lb27" hidden="1">#REF!</definedName>
    <definedName name="__________lb28" localSheetId="0" hidden="1">#REF!</definedName>
    <definedName name="__________lb28" hidden="1">#REF!</definedName>
    <definedName name="__________lb29" localSheetId="0" hidden="1">#REF!</definedName>
    <definedName name="__________lb29" hidden="1">#REF!</definedName>
    <definedName name="__________lb3" localSheetId="0" hidden="1">#REF!</definedName>
    <definedName name="__________lb3" hidden="1">#REF!</definedName>
    <definedName name="__________lb30" localSheetId="0" hidden="1">#REF!</definedName>
    <definedName name="__________lb30" hidden="1">#REF!</definedName>
    <definedName name="__________lb31" localSheetId="0" hidden="1">#REF!</definedName>
    <definedName name="__________lb31" hidden="1">#REF!</definedName>
    <definedName name="__________lb32" localSheetId="0" hidden="1">#REF!</definedName>
    <definedName name="__________lb32" hidden="1">#REF!</definedName>
    <definedName name="__________lb4" localSheetId="0" hidden="1">#REF!</definedName>
    <definedName name="__________lb4" hidden="1">#REF!</definedName>
    <definedName name="__________lb5" localSheetId="0" hidden="1">#REF!</definedName>
    <definedName name="__________lb5" hidden="1">#REF!</definedName>
    <definedName name="__________lb6" localSheetId="0" hidden="1">#REF!</definedName>
    <definedName name="__________lb6" hidden="1">#REF!</definedName>
    <definedName name="__________lb7" localSheetId="0" hidden="1">#REF!</definedName>
    <definedName name="__________lb7" hidden="1">#REF!</definedName>
    <definedName name="__________lb8" localSheetId="0" hidden="1">#REF!</definedName>
    <definedName name="__________lb8" hidden="1">#REF!</definedName>
    <definedName name="__________lb9" localSheetId="0" hidden="1">#REF!</definedName>
    <definedName name="__________lb9" hidden="1">#REF!</definedName>
    <definedName name="__________lbc1" localSheetId="0" hidden="1">#REF!</definedName>
    <definedName name="__________lbc1" hidden="1">#REF!</definedName>
    <definedName name="__________lbc10" localSheetId="0" hidden="1">#REF!</definedName>
    <definedName name="__________lbc10" hidden="1">#REF!</definedName>
    <definedName name="__________lbc11" localSheetId="0" hidden="1">#REF!</definedName>
    <definedName name="__________lbc11" hidden="1">#REF!</definedName>
    <definedName name="__________lbc12" localSheetId="0" hidden="1">#REF!</definedName>
    <definedName name="__________lbc12" hidden="1">#REF!</definedName>
    <definedName name="__________lbc13" localSheetId="0" hidden="1">#REF!</definedName>
    <definedName name="__________lbc13" hidden="1">#REF!</definedName>
    <definedName name="__________lbc14" localSheetId="0" hidden="1">#REF!</definedName>
    <definedName name="__________lbc14" hidden="1">#REF!</definedName>
    <definedName name="__________lbc15" localSheetId="0" hidden="1">#REF!</definedName>
    <definedName name="__________lbc15" hidden="1">#REF!</definedName>
    <definedName name="__________lbc16" localSheetId="0" hidden="1">#REF!</definedName>
    <definedName name="__________lbc16" hidden="1">#REF!</definedName>
    <definedName name="__________lbc17" localSheetId="0" hidden="1">#REF!</definedName>
    <definedName name="__________lbc17" hidden="1">#REF!</definedName>
    <definedName name="__________lbc18" localSheetId="0" hidden="1">#REF!</definedName>
    <definedName name="__________lbc18" hidden="1">#REF!</definedName>
    <definedName name="__________lbc19" localSheetId="0" hidden="1">#REF!</definedName>
    <definedName name="__________lbc19" hidden="1">#REF!</definedName>
    <definedName name="__________lbc2" localSheetId="0" hidden="1">#REF!</definedName>
    <definedName name="__________lbc2" hidden="1">#REF!</definedName>
    <definedName name="__________lbc20" localSheetId="0" hidden="1">#REF!</definedName>
    <definedName name="__________lbc20" hidden="1">#REF!</definedName>
    <definedName name="__________lbc21" localSheetId="0" hidden="1">#REF!</definedName>
    <definedName name="__________lbc21" hidden="1">#REF!</definedName>
    <definedName name="__________lbc22" localSheetId="0" hidden="1">#REF!</definedName>
    <definedName name="__________lbc22" hidden="1">#REF!</definedName>
    <definedName name="__________lbc23" localSheetId="0" hidden="1">#REF!</definedName>
    <definedName name="__________lbc23" hidden="1">#REF!</definedName>
    <definedName name="__________lbc24" localSheetId="0" hidden="1">#REF!</definedName>
    <definedName name="__________lbc24" hidden="1">#REF!</definedName>
    <definedName name="__________lbc25" localSheetId="0" hidden="1">#REF!</definedName>
    <definedName name="__________lbc25" hidden="1">#REF!</definedName>
    <definedName name="__________lbc26" localSheetId="0" hidden="1">#REF!</definedName>
    <definedName name="__________lbc26" hidden="1">#REF!</definedName>
    <definedName name="__________lbc27" localSheetId="0" hidden="1">#REF!</definedName>
    <definedName name="__________lbc27" hidden="1">#REF!</definedName>
    <definedName name="__________lbc28" localSheetId="0" hidden="1">#REF!</definedName>
    <definedName name="__________lbc28" hidden="1">#REF!</definedName>
    <definedName name="__________lbc29" localSheetId="0" hidden="1">#REF!</definedName>
    <definedName name="__________lbc29" hidden="1">#REF!</definedName>
    <definedName name="__________lbc3" localSheetId="0" hidden="1">#REF!</definedName>
    <definedName name="__________lbc3" hidden="1">#REF!</definedName>
    <definedName name="__________lbc31" localSheetId="0" hidden="1">#REF!</definedName>
    <definedName name="__________lbc31" hidden="1">#REF!</definedName>
    <definedName name="__________lbc32" localSheetId="0" hidden="1">#REF!</definedName>
    <definedName name="__________lbc32" hidden="1">#REF!</definedName>
    <definedName name="__________lbc4" localSheetId="0" hidden="1">#REF!</definedName>
    <definedName name="__________lbc4" hidden="1">#REF!</definedName>
    <definedName name="__________lbc5" localSheetId="0" hidden="1">#REF!</definedName>
    <definedName name="__________lbc5" hidden="1">#REF!</definedName>
    <definedName name="__________lbc6" localSheetId="0" hidden="1">#REF!</definedName>
    <definedName name="__________lbc6" hidden="1">#REF!</definedName>
    <definedName name="__________lbc7" localSheetId="0" hidden="1">#REF!</definedName>
    <definedName name="__________lbc7" hidden="1">#REF!</definedName>
    <definedName name="__________lbc8" localSheetId="0" hidden="1">#REF!</definedName>
    <definedName name="__________lbc8" hidden="1">#REF!</definedName>
    <definedName name="__________lbc9" localSheetId="0" hidden="1">#REF!</definedName>
    <definedName name="__________lbc9" hidden="1">#REF!</definedName>
    <definedName name="__________ld26" localSheetId="0" hidden="1">#REF!</definedName>
    <definedName name="__________ld26" hidden="1">#REF!</definedName>
    <definedName name="__________ld31" localSheetId="0" hidden="1">#REF!</definedName>
    <definedName name="__________ld31" hidden="1">#REF!</definedName>
    <definedName name="__________le31" localSheetId="0" hidden="1">#REF!</definedName>
    <definedName name="__________le31" hidden="1">#REF!</definedName>
    <definedName name="__________lf31" localSheetId="0" hidden="1">#REF!</definedName>
    <definedName name="__________lf31" hidden="1">#REF!</definedName>
    <definedName name="__________x10" localSheetId="0" hidden="1">#REF!</definedName>
    <definedName name="__________x10" hidden="1">#REF!</definedName>
    <definedName name="__________x11" localSheetId="0" hidden="1">#REF!</definedName>
    <definedName name="__________x11" hidden="1">#REF!</definedName>
    <definedName name="__________x12" localSheetId="0" hidden="1">#REF!</definedName>
    <definedName name="__________x12" hidden="1">#REF!</definedName>
    <definedName name="__________x13" localSheetId="0" hidden="1">#REF!</definedName>
    <definedName name="__________x13" hidden="1">#REF!</definedName>
    <definedName name="__________x14" localSheetId="0" hidden="1">#REF!</definedName>
    <definedName name="__________x14" hidden="1">#REF!</definedName>
    <definedName name="__________x15" localSheetId="0" hidden="1">#REF!</definedName>
    <definedName name="__________x15" hidden="1">#REF!</definedName>
    <definedName name="__________x16" localSheetId="0" hidden="1">#REF!</definedName>
    <definedName name="__________x16" hidden="1">#REF!</definedName>
    <definedName name="__________x17" localSheetId="0" hidden="1">#REF!</definedName>
    <definedName name="__________x17" hidden="1">#REF!</definedName>
    <definedName name="__________x18" localSheetId="0" hidden="1">#REF!</definedName>
    <definedName name="__________x18" hidden="1">#REF!</definedName>
    <definedName name="__________x19" localSheetId="0" hidden="1">#REF!</definedName>
    <definedName name="__________x19" hidden="1">#REF!</definedName>
    <definedName name="__________x20" localSheetId="0" hidden="1">#REF!</definedName>
    <definedName name="__________x20" hidden="1">#REF!</definedName>
    <definedName name="__________x21" localSheetId="0" hidden="1">#REF!</definedName>
    <definedName name="__________x21" hidden="1">#REF!</definedName>
    <definedName name="__________x22" localSheetId="0" hidden="1">#REF!</definedName>
    <definedName name="__________x22" hidden="1">#REF!</definedName>
    <definedName name="__________x23" localSheetId="0" hidden="1">#REF!</definedName>
    <definedName name="__________x23" hidden="1">#REF!</definedName>
    <definedName name="__________x24" localSheetId="0" hidden="1">#REF!</definedName>
    <definedName name="__________x24" hidden="1">#REF!</definedName>
    <definedName name="__________x25" localSheetId="0" hidden="1">#REF!</definedName>
    <definedName name="__________x25" hidden="1">#REF!</definedName>
    <definedName name="__________x28" localSheetId="0" hidden="1">#REF!</definedName>
    <definedName name="__________x28" hidden="1">#REF!</definedName>
    <definedName name="__________x29" localSheetId="0" hidden="1">#REF!</definedName>
    <definedName name="__________x29" hidden="1">#REF!</definedName>
    <definedName name="__________x32" localSheetId="0" hidden="1">#REF!</definedName>
    <definedName name="__________x32" hidden="1">#REF!</definedName>
    <definedName name="__________x4" localSheetId="0" hidden="1">#REF!</definedName>
    <definedName name="__________x4" hidden="1">#REF!</definedName>
    <definedName name="__________x5" localSheetId="0" hidden="1">#REF!</definedName>
    <definedName name="__________x5" hidden="1">#REF!</definedName>
    <definedName name="__________x6" localSheetId="0" hidden="1">#REF!</definedName>
    <definedName name="__________x6" hidden="1">#REF!</definedName>
    <definedName name="__________x7" localSheetId="0" hidden="1">#REF!</definedName>
    <definedName name="__________x7" hidden="1">#REF!</definedName>
    <definedName name="__________x8" localSheetId="0" hidden="1">#REF!</definedName>
    <definedName name="__________x8" hidden="1">#REF!</definedName>
    <definedName name="__________x9" localSheetId="0" hidden="1">#REF!</definedName>
    <definedName name="__________x9" hidden="1">#REF!</definedName>
    <definedName name="_________INV12">#REF!</definedName>
    <definedName name="_________INV13">#REF!</definedName>
    <definedName name="_________inv2">#REF!</definedName>
    <definedName name="_________la29" localSheetId="27" hidden="1">#REF!</definedName>
    <definedName name="_________la29" localSheetId="0" hidden="1">#REF!</definedName>
    <definedName name="_________la29" hidden="1">#REF!</definedName>
    <definedName name="_________la3" localSheetId="27" hidden="1">#REF!</definedName>
    <definedName name="_________la3" localSheetId="0" hidden="1">#REF!</definedName>
    <definedName name="_________la3" hidden="1">#REF!</definedName>
    <definedName name="_________la31" localSheetId="27" hidden="1">#REF!</definedName>
    <definedName name="_________la31" localSheetId="0" hidden="1">#REF!</definedName>
    <definedName name="_________la31" hidden="1">#REF!</definedName>
    <definedName name="_________la32" localSheetId="0" hidden="1">#REF!</definedName>
    <definedName name="_________la32" hidden="1">#REF!</definedName>
    <definedName name="_________la4" localSheetId="0" hidden="1">#REF!</definedName>
    <definedName name="_________la4" hidden="1">#REF!</definedName>
    <definedName name="_________la5" localSheetId="0" hidden="1">#REF!</definedName>
    <definedName name="_________la5" hidden="1">#REF!</definedName>
    <definedName name="_________la6" localSheetId="0" hidden="1">#REF!</definedName>
    <definedName name="_________la6" hidden="1">#REF!</definedName>
    <definedName name="_________la7" localSheetId="0" hidden="1">#REF!</definedName>
    <definedName name="_________la7" hidden="1">#REF!</definedName>
    <definedName name="_________la8" localSheetId="0" hidden="1">#REF!</definedName>
    <definedName name="_________la8" hidden="1">#REF!</definedName>
    <definedName name="_________la9" localSheetId="0" hidden="1">#REF!</definedName>
    <definedName name="_________la9" hidden="1">#REF!</definedName>
    <definedName name="_________lb1" localSheetId="0" hidden="1">#REF!</definedName>
    <definedName name="_________lb1" hidden="1">#REF!</definedName>
    <definedName name="_________lb10" localSheetId="0" hidden="1">#REF!</definedName>
    <definedName name="_________lb10" hidden="1">#REF!</definedName>
    <definedName name="_________lb11" localSheetId="0" hidden="1">#REF!</definedName>
    <definedName name="_________lb11" hidden="1">#REF!</definedName>
    <definedName name="_________lb12" localSheetId="0" hidden="1">#REF!</definedName>
    <definedName name="_________lb12" hidden="1">#REF!</definedName>
    <definedName name="_________lb13" localSheetId="0" hidden="1">#REF!</definedName>
    <definedName name="_________lb13" hidden="1">#REF!</definedName>
    <definedName name="_________lb14" localSheetId="0" hidden="1">#REF!</definedName>
    <definedName name="_________lb14" hidden="1">#REF!</definedName>
    <definedName name="_________lb15" localSheetId="0" hidden="1">#REF!</definedName>
    <definedName name="_________lb15" hidden="1">#REF!</definedName>
    <definedName name="_________lb16" localSheetId="0" hidden="1">#REF!</definedName>
    <definedName name="_________lb16" hidden="1">#REF!</definedName>
    <definedName name="_________lb17" localSheetId="0" hidden="1">#REF!</definedName>
    <definedName name="_________lb17" hidden="1">#REF!</definedName>
    <definedName name="_________lb18" localSheetId="0" hidden="1">#REF!</definedName>
    <definedName name="_________lb18" hidden="1">#REF!</definedName>
    <definedName name="_________lb19" localSheetId="0" hidden="1">#REF!</definedName>
    <definedName name="_________lb19" hidden="1">#REF!</definedName>
    <definedName name="_________lb2" localSheetId="0" hidden="1">#REF!</definedName>
    <definedName name="_________lb2" hidden="1">#REF!</definedName>
    <definedName name="_________lb20" localSheetId="0" hidden="1">#REF!</definedName>
    <definedName name="_________lb20" hidden="1">#REF!</definedName>
    <definedName name="_________lb21" localSheetId="0" hidden="1">#REF!</definedName>
    <definedName name="_________lb21" hidden="1">#REF!</definedName>
    <definedName name="_________lb22" localSheetId="0" hidden="1">#REF!</definedName>
    <definedName name="_________lb22" hidden="1">#REF!</definedName>
    <definedName name="_________lb23" localSheetId="0" hidden="1">#REF!</definedName>
    <definedName name="_________lb23" hidden="1">#REF!</definedName>
    <definedName name="_________lb24" localSheetId="0" hidden="1">#REF!</definedName>
    <definedName name="_________lb24" hidden="1">#REF!</definedName>
    <definedName name="_________lb25" localSheetId="0" hidden="1">#REF!</definedName>
    <definedName name="_________lb25" hidden="1">#REF!</definedName>
    <definedName name="_________lb27" localSheetId="0" hidden="1">#REF!</definedName>
    <definedName name="_________lb27" hidden="1">#REF!</definedName>
    <definedName name="_________lb28" localSheetId="0" hidden="1">#REF!</definedName>
    <definedName name="_________lb28" hidden="1">#REF!</definedName>
    <definedName name="_________lb29" localSheetId="0" hidden="1">#REF!</definedName>
    <definedName name="_________lb29" hidden="1">#REF!</definedName>
    <definedName name="_________lb3" localSheetId="0" hidden="1">#REF!</definedName>
    <definedName name="_________lb3" hidden="1">#REF!</definedName>
    <definedName name="_________lb30" localSheetId="0" hidden="1">#REF!</definedName>
    <definedName name="_________lb30" hidden="1">#REF!</definedName>
    <definedName name="_________lb31" localSheetId="0" hidden="1">#REF!</definedName>
    <definedName name="_________lb31" hidden="1">#REF!</definedName>
    <definedName name="_________lb32" localSheetId="0" hidden="1">#REF!</definedName>
    <definedName name="_________lb32" hidden="1">#REF!</definedName>
    <definedName name="_________lb4" localSheetId="0" hidden="1">#REF!</definedName>
    <definedName name="_________lb4" hidden="1">#REF!</definedName>
    <definedName name="_________lb5" localSheetId="0" hidden="1">#REF!</definedName>
    <definedName name="_________lb5" hidden="1">#REF!</definedName>
    <definedName name="_________lb6" localSheetId="0" hidden="1">#REF!</definedName>
    <definedName name="_________lb6" hidden="1">#REF!</definedName>
    <definedName name="_________lb7" localSheetId="0" hidden="1">#REF!</definedName>
    <definedName name="_________lb7" hidden="1">#REF!</definedName>
    <definedName name="_________lb8" localSheetId="0" hidden="1">#REF!</definedName>
    <definedName name="_________lb8" hidden="1">#REF!</definedName>
    <definedName name="_________lb9" localSheetId="0" hidden="1">#REF!</definedName>
    <definedName name="_________lb9" hidden="1">#REF!</definedName>
    <definedName name="_________lbc1" localSheetId="0" hidden="1">#REF!</definedName>
    <definedName name="_________lbc1" hidden="1">#REF!</definedName>
    <definedName name="_________lbc10" localSheetId="0" hidden="1">#REF!</definedName>
    <definedName name="_________lbc10" hidden="1">#REF!</definedName>
    <definedName name="_________lbc11" localSheetId="0" hidden="1">#REF!</definedName>
    <definedName name="_________lbc11" hidden="1">#REF!</definedName>
    <definedName name="_________lbc12" localSheetId="0" hidden="1">#REF!</definedName>
    <definedName name="_________lbc12" hidden="1">#REF!</definedName>
    <definedName name="_________lbc13" localSheetId="0" hidden="1">#REF!</definedName>
    <definedName name="_________lbc13" hidden="1">#REF!</definedName>
    <definedName name="_________lbc14" localSheetId="0" hidden="1">#REF!</definedName>
    <definedName name="_________lbc14" hidden="1">#REF!</definedName>
    <definedName name="_________lbc15" localSheetId="0" hidden="1">#REF!</definedName>
    <definedName name="_________lbc15" hidden="1">#REF!</definedName>
    <definedName name="_________lbc16" localSheetId="0" hidden="1">#REF!</definedName>
    <definedName name="_________lbc16" hidden="1">#REF!</definedName>
    <definedName name="_________lbc17" localSheetId="0" hidden="1">#REF!</definedName>
    <definedName name="_________lbc17" hidden="1">#REF!</definedName>
    <definedName name="_________lbc18" localSheetId="0" hidden="1">#REF!</definedName>
    <definedName name="_________lbc18" hidden="1">#REF!</definedName>
    <definedName name="_________lbc19" localSheetId="0" hidden="1">#REF!</definedName>
    <definedName name="_________lbc19" hidden="1">#REF!</definedName>
    <definedName name="_________lbc2" localSheetId="0" hidden="1">#REF!</definedName>
    <definedName name="_________lbc2" hidden="1">#REF!</definedName>
    <definedName name="_________lbc20" localSheetId="0" hidden="1">#REF!</definedName>
    <definedName name="_________lbc20" hidden="1">#REF!</definedName>
    <definedName name="_________lbc21" localSheetId="0" hidden="1">#REF!</definedName>
    <definedName name="_________lbc21" hidden="1">#REF!</definedName>
    <definedName name="_________lbc22" localSheetId="0" hidden="1">#REF!</definedName>
    <definedName name="_________lbc22" hidden="1">#REF!</definedName>
    <definedName name="_________lbc23" localSheetId="0" hidden="1">#REF!</definedName>
    <definedName name="_________lbc23" hidden="1">#REF!</definedName>
    <definedName name="_________lbc24" localSheetId="0" hidden="1">#REF!</definedName>
    <definedName name="_________lbc24" hidden="1">#REF!</definedName>
    <definedName name="_________lbc25" localSheetId="0" hidden="1">#REF!</definedName>
    <definedName name="_________lbc25" hidden="1">#REF!</definedName>
    <definedName name="_________lbc26" localSheetId="0" hidden="1">#REF!</definedName>
    <definedName name="_________lbc26" hidden="1">#REF!</definedName>
    <definedName name="_________lbc27" localSheetId="0" hidden="1">#REF!</definedName>
    <definedName name="_________lbc27" hidden="1">#REF!</definedName>
    <definedName name="_________lbc28" localSheetId="0" hidden="1">#REF!</definedName>
    <definedName name="_________lbc28" hidden="1">#REF!</definedName>
    <definedName name="_________lbc29" localSheetId="0" hidden="1">#REF!</definedName>
    <definedName name="_________lbc29" hidden="1">#REF!</definedName>
    <definedName name="_________lbc3" localSheetId="0" hidden="1">#REF!</definedName>
    <definedName name="_________lbc3" hidden="1">#REF!</definedName>
    <definedName name="_________lbc31" localSheetId="0" hidden="1">#REF!</definedName>
    <definedName name="_________lbc31" hidden="1">#REF!</definedName>
    <definedName name="_________lbc32" localSheetId="0" hidden="1">#REF!</definedName>
    <definedName name="_________lbc32" hidden="1">#REF!</definedName>
    <definedName name="_________lbc4" localSheetId="0" hidden="1">#REF!</definedName>
    <definedName name="_________lbc4" hidden="1">#REF!</definedName>
    <definedName name="_________lbc5" localSheetId="0" hidden="1">#REF!</definedName>
    <definedName name="_________lbc5" hidden="1">#REF!</definedName>
    <definedName name="_________lbc6" localSheetId="0" hidden="1">#REF!</definedName>
    <definedName name="_________lbc6" hidden="1">#REF!</definedName>
    <definedName name="_________lbc7" localSheetId="0" hidden="1">#REF!</definedName>
    <definedName name="_________lbc7" hidden="1">#REF!</definedName>
    <definedName name="_________lbc8" localSheetId="0" hidden="1">#REF!</definedName>
    <definedName name="_________lbc8" hidden="1">#REF!</definedName>
    <definedName name="_________lbc9" localSheetId="0" hidden="1">#REF!</definedName>
    <definedName name="_________lbc9" hidden="1">#REF!</definedName>
    <definedName name="_________ld26" localSheetId="0" hidden="1">#REF!</definedName>
    <definedName name="_________ld26" hidden="1">#REF!</definedName>
    <definedName name="_________ld31" localSheetId="0" hidden="1">#REF!</definedName>
    <definedName name="_________ld31" hidden="1">#REF!</definedName>
    <definedName name="_________le31" localSheetId="0" hidden="1">#REF!</definedName>
    <definedName name="_________le31" hidden="1">#REF!</definedName>
    <definedName name="_________lf31" localSheetId="0" hidden="1">#REF!</definedName>
    <definedName name="_________lf31" hidden="1">#REF!</definedName>
    <definedName name="_________x10" localSheetId="0" hidden="1">#REF!</definedName>
    <definedName name="_________x10" hidden="1">#REF!</definedName>
    <definedName name="_________x11" localSheetId="0" hidden="1">#REF!</definedName>
    <definedName name="_________x11" hidden="1">#REF!</definedName>
    <definedName name="_________x12" localSheetId="0" hidden="1">#REF!</definedName>
    <definedName name="_________x12" hidden="1">#REF!</definedName>
    <definedName name="_________x13" localSheetId="0" hidden="1">#REF!</definedName>
    <definedName name="_________x13" hidden="1">#REF!</definedName>
    <definedName name="_________x14" localSheetId="0" hidden="1">#REF!</definedName>
    <definedName name="_________x14" hidden="1">#REF!</definedName>
    <definedName name="_________x15" localSheetId="0" hidden="1">#REF!</definedName>
    <definedName name="_________x15" hidden="1">#REF!</definedName>
    <definedName name="_________x16" localSheetId="0" hidden="1">#REF!</definedName>
    <definedName name="_________x16" hidden="1">#REF!</definedName>
    <definedName name="_________x17" localSheetId="0" hidden="1">#REF!</definedName>
    <definedName name="_________x17" hidden="1">#REF!</definedName>
    <definedName name="_________x18" localSheetId="0" hidden="1">#REF!</definedName>
    <definedName name="_________x18" hidden="1">#REF!</definedName>
    <definedName name="_________x19" localSheetId="0" hidden="1">#REF!</definedName>
    <definedName name="_________x19" hidden="1">#REF!</definedName>
    <definedName name="_________x20" localSheetId="0" hidden="1">#REF!</definedName>
    <definedName name="_________x20" hidden="1">#REF!</definedName>
    <definedName name="_________x21" localSheetId="0" hidden="1">#REF!</definedName>
    <definedName name="_________x21" hidden="1">#REF!</definedName>
    <definedName name="_________x22" localSheetId="0" hidden="1">#REF!</definedName>
    <definedName name="_________x22" hidden="1">#REF!</definedName>
    <definedName name="_________x23" localSheetId="0" hidden="1">#REF!</definedName>
    <definedName name="_________x23" hidden="1">#REF!</definedName>
    <definedName name="_________x24" localSheetId="0" hidden="1">#REF!</definedName>
    <definedName name="_________x24" hidden="1">#REF!</definedName>
    <definedName name="_________x25" localSheetId="0" hidden="1">#REF!</definedName>
    <definedName name="_________x25" hidden="1">#REF!</definedName>
    <definedName name="_________x28" localSheetId="0" hidden="1">#REF!</definedName>
    <definedName name="_________x28" hidden="1">#REF!</definedName>
    <definedName name="_________x29" localSheetId="0" hidden="1">#REF!</definedName>
    <definedName name="_________x29" hidden="1">#REF!</definedName>
    <definedName name="_________x32" localSheetId="0" hidden="1">#REF!</definedName>
    <definedName name="_________x32" hidden="1">#REF!</definedName>
    <definedName name="_________x4" localSheetId="0" hidden="1">#REF!</definedName>
    <definedName name="_________x4" hidden="1">#REF!</definedName>
    <definedName name="_________x5" localSheetId="0" hidden="1">#REF!</definedName>
    <definedName name="_________x5" hidden="1">#REF!</definedName>
    <definedName name="_________x6" localSheetId="0" hidden="1">#REF!</definedName>
    <definedName name="_________x6" hidden="1">#REF!</definedName>
    <definedName name="_________x7" localSheetId="0" hidden="1">#REF!</definedName>
    <definedName name="_________x7" hidden="1">#REF!</definedName>
    <definedName name="_________x8" localSheetId="0" hidden="1">#REF!</definedName>
    <definedName name="_________x8" hidden="1">#REF!</definedName>
    <definedName name="_________x9" localSheetId="0" hidden="1">#REF!</definedName>
    <definedName name="_________x9" hidden="1">#REF!</definedName>
    <definedName name="________INV12">#REF!</definedName>
    <definedName name="________INV13">#REF!</definedName>
    <definedName name="________inv2">#REF!</definedName>
    <definedName name="________la29" localSheetId="27" hidden="1">#REF!</definedName>
    <definedName name="________la29" localSheetId="0" hidden="1">#REF!</definedName>
    <definedName name="________la29" hidden="1">#REF!</definedName>
    <definedName name="________la3" localSheetId="27" hidden="1">#REF!</definedName>
    <definedName name="________la3" localSheetId="0" hidden="1">#REF!</definedName>
    <definedName name="________la3" hidden="1">#REF!</definedName>
    <definedName name="________la31" localSheetId="27" hidden="1">#REF!</definedName>
    <definedName name="________la31" localSheetId="0" hidden="1">#REF!</definedName>
    <definedName name="________la31" hidden="1">#REF!</definedName>
    <definedName name="________la32" localSheetId="0" hidden="1">#REF!</definedName>
    <definedName name="________la32" hidden="1">#REF!</definedName>
    <definedName name="________la4" localSheetId="0" hidden="1">#REF!</definedName>
    <definedName name="________la4" hidden="1">#REF!</definedName>
    <definedName name="________la5" localSheetId="0" hidden="1">#REF!</definedName>
    <definedName name="________la5" hidden="1">#REF!</definedName>
    <definedName name="________la6" localSheetId="0" hidden="1">#REF!</definedName>
    <definedName name="________la6" hidden="1">#REF!</definedName>
    <definedName name="________la7" localSheetId="0" hidden="1">#REF!</definedName>
    <definedName name="________la7" hidden="1">#REF!</definedName>
    <definedName name="________la8" localSheetId="0" hidden="1">#REF!</definedName>
    <definedName name="________la8" hidden="1">#REF!</definedName>
    <definedName name="________la9" localSheetId="0" hidden="1">#REF!</definedName>
    <definedName name="________la9" hidden="1">#REF!</definedName>
    <definedName name="________lb1" localSheetId="0" hidden="1">#REF!</definedName>
    <definedName name="________lb1" hidden="1">#REF!</definedName>
    <definedName name="________lb10" localSheetId="0" hidden="1">#REF!</definedName>
    <definedName name="________lb10" hidden="1">#REF!</definedName>
    <definedName name="________lb11" localSheetId="0" hidden="1">#REF!</definedName>
    <definedName name="________lb11" hidden="1">#REF!</definedName>
    <definedName name="________lb12" localSheetId="0" hidden="1">#REF!</definedName>
    <definedName name="________lb12" hidden="1">#REF!</definedName>
    <definedName name="________lb13" localSheetId="0" hidden="1">#REF!</definedName>
    <definedName name="________lb13" hidden="1">#REF!</definedName>
    <definedName name="________lb14" localSheetId="0" hidden="1">#REF!</definedName>
    <definedName name="________lb14" hidden="1">#REF!</definedName>
    <definedName name="________lb15" localSheetId="0" hidden="1">#REF!</definedName>
    <definedName name="________lb15" hidden="1">#REF!</definedName>
    <definedName name="________lb16" localSheetId="0" hidden="1">#REF!</definedName>
    <definedName name="________lb16" hidden="1">#REF!</definedName>
    <definedName name="________lb17" localSheetId="0" hidden="1">#REF!</definedName>
    <definedName name="________lb17" hidden="1">#REF!</definedName>
    <definedName name="________lb18" localSheetId="0" hidden="1">#REF!</definedName>
    <definedName name="________lb18" hidden="1">#REF!</definedName>
    <definedName name="________lb19" localSheetId="0" hidden="1">#REF!</definedName>
    <definedName name="________lb19" hidden="1">#REF!</definedName>
    <definedName name="________lb2" localSheetId="0" hidden="1">#REF!</definedName>
    <definedName name="________lb2" hidden="1">#REF!</definedName>
    <definedName name="________lb20" localSheetId="0" hidden="1">#REF!</definedName>
    <definedName name="________lb20" hidden="1">#REF!</definedName>
    <definedName name="________lb21" localSheetId="0" hidden="1">#REF!</definedName>
    <definedName name="________lb21" hidden="1">#REF!</definedName>
    <definedName name="________lb22" localSheetId="0" hidden="1">#REF!</definedName>
    <definedName name="________lb22" hidden="1">#REF!</definedName>
    <definedName name="________lb23" localSheetId="0" hidden="1">#REF!</definedName>
    <definedName name="________lb23" hidden="1">#REF!</definedName>
    <definedName name="________lb24" localSheetId="0" hidden="1">#REF!</definedName>
    <definedName name="________lb24" hidden="1">#REF!</definedName>
    <definedName name="________lb25" localSheetId="0" hidden="1">#REF!</definedName>
    <definedName name="________lb25" hidden="1">#REF!</definedName>
    <definedName name="________lb27" localSheetId="0" hidden="1">#REF!</definedName>
    <definedName name="________lb27" hidden="1">#REF!</definedName>
    <definedName name="________lb28" localSheetId="0" hidden="1">#REF!</definedName>
    <definedName name="________lb28" hidden="1">#REF!</definedName>
    <definedName name="________lb29" localSheetId="0" hidden="1">#REF!</definedName>
    <definedName name="________lb29" hidden="1">#REF!</definedName>
    <definedName name="________lb3" localSheetId="0" hidden="1">#REF!</definedName>
    <definedName name="________lb3" hidden="1">#REF!</definedName>
    <definedName name="________lb30" localSheetId="0" hidden="1">#REF!</definedName>
    <definedName name="________lb30" hidden="1">#REF!</definedName>
    <definedName name="________lb31" localSheetId="0" hidden="1">#REF!</definedName>
    <definedName name="________lb31" hidden="1">#REF!</definedName>
    <definedName name="________lb32" localSheetId="0" hidden="1">#REF!</definedName>
    <definedName name="________lb32" hidden="1">#REF!</definedName>
    <definedName name="________lb4" localSheetId="0" hidden="1">#REF!</definedName>
    <definedName name="________lb4" hidden="1">#REF!</definedName>
    <definedName name="________lb5" localSheetId="0" hidden="1">#REF!</definedName>
    <definedName name="________lb5" hidden="1">#REF!</definedName>
    <definedName name="________lb6" localSheetId="0" hidden="1">#REF!</definedName>
    <definedName name="________lb6" hidden="1">#REF!</definedName>
    <definedName name="________lb7" localSheetId="0" hidden="1">#REF!</definedName>
    <definedName name="________lb7" hidden="1">#REF!</definedName>
    <definedName name="________lb8" localSheetId="0" hidden="1">#REF!</definedName>
    <definedName name="________lb8" hidden="1">#REF!</definedName>
    <definedName name="________lb9" localSheetId="0" hidden="1">#REF!</definedName>
    <definedName name="________lb9" hidden="1">#REF!</definedName>
    <definedName name="________lbc1" localSheetId="0" hidden="1">#REF!</definedName>
    <definedName name="________lbc1" hidden="1">#REF!</definedName>
    <definedName name="________lbc10" localSheetId="0" hidden="1">#REF!</definedName>
    <definedName name="________lbc10" hidden="1">#REF!</definedName>
    <definedName name="________lbc11" localSheetId="0" hidden="1">#REF!</definedName>
    <definedName name="________lbc11" hidden="1">#REF!</definedName>
    <definedName name="________lbc12" localSheetId="0" hidden="1">#REF!</definedName>
    <definedName name="________lbc12" hidden="1">#REF!</definedName>
    <definedName name="________lbc13" localSheetId="0" hidden="1">#REF!</definedName>
    <definedName name="________lbc13" hidden="1">#REF!</definedName>
    <definedName name="________lbc14" localSheetId="0" hidden="1">#REF!</definedName>
    <definedName name="________lbc14" hidden="1">#REF!</definedName>
    <definedName name="________lbc15" localSheetId="0" hidden="1">#REF!</definedName>
    <definedName name="________lbc15" hidden="1">#REF!</definedName>
    <definedName name="________lbc16" localSheetId="0" hidden="1">#REF!</definedName>
    <definedName name="________lbc16" hidden="1">#REF!</definedName>
    <definedName name="________lbc17" localSheetId="0" hidden="1">#REF!</definedName>
    <definedName name="________lbc17" hidden="1">#REF!</definedName>
    <definedName name="________lbc18" localSheetId="0" hidden="1">#REF!</definedName>
    <definedName name="________lbc18" hidden="1">#REF!</definedName>
    <definedName name="________lbc19" localSheetId="0" hidden="1">#REF!</definedName>
    <definedName name="________lbc19" hidden="1">#REF!</definedName>
    <definedName name="________lbc2" localSheetId="0" hidden="1">#REF!</definedName>
    <definedName name="________lbc2" hidden="1">#REF!</definedName>
    <definedName name="________lbc20" localSheetId="0" hidden="1">#REF!</definedName>
    <definedName name="________lbc20" hidden="1">#REF!</definedName>
    <definedName name="________lbc21" localSheetId="0" hidden="1">#REF!</definedName>
    <definedName name="________lbc21" hidden="1">#REF!</definedName>
    <definedName name="________lbc22" localSheetId="0" hidden="1">#REF!</definedName>
    <definedName name="________lbc22" hidden="1">#REF!</definedName>
    <definedName name="________lbc23" localSheetId="0" hidden="1">#REF!</definedName>
    <definedName name="________lbc23" hidden="1">#REF!</definedName>
    <definedName name="________lbc24" localSheetId="0" hidden="1">#REF!</definedName>
    <definedName name="________lbc24" hidden="1">#REF!</definedName>
    <definedName name="________lbc25" localSheetId="0" hidden="1">#REF!</definedName>
    <definedName name="________lbc25" hidden="1">#REF!</definedName>
    <definedName name="________lbc26" localSheetId="0" hidden="1">#REF!</definedName>
    <definedName name="________lbc26" hidden="1">#REF!</definedName>
    <definedName name="________lbc27" localSheetId="0" hidden="1">#REF!</definedName>
    <definedName name="________lbc27" hidden="1">#REF!</definedName>
    <definedName name="________lbc28" localSheetId="0" hidden="1">#REF!</definedName>
    <definedName name="________lbc28" hidden="1">#REF!</definedName>
    <definedName name="________lbc29" localSheetId="0" hidden="1">#REF!</definedName>
    <definedName name="________lbc29" hidden="1">#REF!</definedName>
    <definedName name="________lbc3" localSheetId="0" hidden="1">#REF!</definedName>
    <definedName name="________lbc3" hidden="1">#REF!</definedName>
    <definedName name="________lbc31" localSheetId="0" hidden="1">#REF!</definedName>
    <definedName name="________lbc31" hidden="1">#REF!</definedName>
    <definedName name="________lbc32" localSheetId="0" hidden="1">#REF!</definedName>
    <definedName name="________lbc32" hidden="1">#REF!</definedName>
    <definedName name="________lbc4" localSheetId="0" hidden="1">#REF!</definedName>
    <definedName name="________lbc4" hidden="1">#REF!</definedName>
    <definedName name="________lbc5" localSheetId="0" hidden="1">#REF!</definedName>
    <definedName name="________lbc5" hidden="1">#REF!</definedName>
    <definedName name="________lbc6" localSheetId="0" hidden="1">#REF!</definedName>
    <definedName name="________lbc6" hidden="1">#REF!</definedName>
    <definedName name="________lbc7" localSheetId="0" hidden="1">#REF!</definedName>
    <definedName name="________lbc7" hidden="1">#REF!</definedName>
    <definedName name="________lbc8" localSheetId="0" hidden="1">#REF!</definedName>
    <definedName name="________lbc8" hidden="1">#REF!</definedName>
    <definedName name="________lbc9" localSheetId="0" hidden="1">#REF!</definedName>
    <definedName name="________lbc9" hidden="1">#REF!</definedName>
    <definedName name="________ld26" localSheetId="0" hidden="1">#REF!</definedName>
    <definedName name="________ld26" hidden="1">#REF!</definedName>
    <definedName name="________ld31" localSheetId="0" hidden="1">#REF!</definedName>
    <definedName name="________ld31" hidden="1">#REF!</definedName>
    <definedName name="________le31" localSheetId="0" hidden="1">#REF!</definedName>
    <definedName name="________le31" hidden="1">#REF!</definedName>
    <definedName name="________lf31" localSheetId="0" hidden="1">#REF!</definedName>
    <definedName name="________lf31" hidden="1">#REF!</definedName>
    <definedName name="________x10" localSheetId="0" hidden="1">#REF!</definedName>
    <definedName name="________x10" hidden="1">#REF!</definedName>
    <definedName name="________x11" localSheetId="0" hidden="1">#REF!</definedName>
    <definedName name="________x11" hidden="1">#REF!</definedName>
    <definedName name="________x12" localSheetId="0" hidden="1">#REF!</definedName>
    <definedName name="________x12" hidden="1">#REF!</definedName>
    <definedName name="________x13" localSheetId="0" hidden="1">#REF!</definedName>
    <definedName name="________x13" hidden="1">#REF!</definedName>
    <definedName name="________x14" localSheetId="0" hidden="1">#REF!</definedName>
    <definedName name="________x14" hidden="1">#REF!</definedName>
    <definedName name="________x15" localSheetId="0" hidden="1">#REF!</definedName>
    <definedName name="________x15" hidden="1">#REF!</definedName>
    <definedName name="________x16" localSheetId="0" hidden="1">#REF!</definedName>
    <definedName name="________x16" hidden="1">#REF!</definedName>
    <definedName name="________x17" localSheetId="0" hidden="1">#REF!</definedName>
    <definedName name="________x17" hidden="1">#REF!</definedName>
    <definedName name="________x18" localSheetId="0" hidden="1">#REF!</definedName>
    <definedName name="________x18" hidden="1">#REF!</definedName>
    <definedName name="________x19" localSheetId="0" hidden="1">#REF!</definedName>
    <definedName name="________x19" hidden="1">#REF!</definedName>
    <definedName name="________x20" localSheetId="0" hidden="1">#REF!</definedName>
    <definedName name="________x20" hidden="1">#REF!</definedName>
    <definedName name="________x21" localSheetId="0" hidden="1">#REF!</definedName>
    <definedName name="________x21" hidden="1">#REF!</definedName>
    <definedName name="________x22" localSheetId="0" hidden="1">#REF!</definedName>
    <definedName name="________x22" hidden="1">#REF!</definedName>
    <definedName name="________x23" localSheetId="0" hidden="1">#REF!</definedName>
    <definedName name="________x23" hidden="1">#REF!</definedName>
    <definedName name="________x24" localSheetId="0" hidden="1">#REF!</definedName>
    <definedName name="________x24" hidden="1">#REF!</definedName>
    <definedName name="________x25" localSheetId="0" hidden="1">#REF!</definedName>
    <definedName name="________x25" hidden="1">#REF!</definedName>
    <definedName name="________x28" localSheetId="0" hidden="1">#REF!</definedName>
    <definedName name="________x28" hidden="1">#REF!</definedName>
    <definedName name="________x29" localSheetId="0" hidden="1">#REF!</definedName>
    <definedName name="________x29" hidden="1">#REF!</definedName>
    <definedName name="________x32" localSheetId="0" hidden="1">#REF!</definedName>
    <definedName name="________x32" hidden="1">#REF!</definedName>
    <definedName name="________x4" localSheetId="0" hidden="1">#REF!</definedName>
    <definedName name="________x4" hidden="1">#REF!</definedName>
    <definedName name="________x5" localSheetId="0" hidden="1">#REF!</definedName>
    <definedName name="________x5" hidden="1">#REF!</definedName>
    <definedName name="________x6" localSheetId="0" hidden="1">#REF!</definedName>
    <definedName name="________x6" hidden="1">#REF!</definedName>
    <definedName name="________x7" localSheetId="0" hidden="1">#REF!</definedName>
    <definedName name="________x7" hidden="1">#REF!</definedName>
    <definedName name="________x8" localSheetId="0" hidden="1">#REF!</definedName>
    <definedName name="________x8" hidden="1">#REF!</definedName>
    <definedName name="________x9" localSheetId="0" hidden="1">#REF!</definedName>
    <definedName name="________x9" hidden="1">#REF!</definedName>
    <definedName name="_______INV12">#REF!</definedName>
    <definedName name="_______INV13">#REF!</definedName>
    <definedName name="_______inv2">#REF!</definedName>
    <definedName name="_______la29" localSheetId="27" hidden="1">#REF!</definedName>
    <definedName name="_______la29" localSheetId="0" hidden="1">#REF!</definedName>
    <definedName name="_______la29" hidden="1">#REF!</definedName>
    <definedName name="_______la3" localSheetId="27" hidden="1">#REF!</definedName>
    <definedName name="_______la3" localSheetId="0" hidden="1">#REF!</definedName>
    <definedName name="_______la3" hidden="1">#REF!</definedName>
    <definedName name="_______la31" localSheetId="27" hidden="1">#REF!</definedName>
    <definedName name="_______la31" localSheetId="0" hidden="1">#REF!</definedName>
    <definedName name="_______la31" hidden="1">#REF!</definedName>
    <definedName name="_______la32" localSheetId="0" hidden="1">#REF!</definedName>
    <definedName name="_______la32" hidden="1">#REF!</definedName>
    <definedName name="_______la4" localSheetId="0" hidden="1">#REF!</definedName>
    <definedName name="_______la4" hidden="1">#REF!</definedName>
    <definedName name="_______la5" localSheetId="0" hidden="1">#REF!</definedName>
    <definedName name="_______la5" hidden="1">#REF!</definedName>
    <definedName name="_______la6" localSheetId="0" hidden="1">#REF!</definedName>
    <definedName name="_______la6" hidden="1">#REF!</definedName>
    <definedName name="_______la7" localSheetId="0" hidden="1">#REF!</definedName>
    <definedName name="_______la7" hidden="1">#REF!</definedName>
    <definedName name="_______la8" localSheetId="0" hidden="1">#REF!</definedName>
    <definedName name="_______la8" hidden="1">#REF!</definedName>
    <definedName name="_______la9" localSheetId="0" hidden="1">#REF!</definedName>
    <definedName name="_______la9" hidden="1">#REF!</definedName>
    <definedName name="_______lb1" localSheetId="0" hidden="1">#REF!</definedName>
    <definedName name="_______lb1" hidden="1">#REF!</definedName>
    <definedName name="_______lb10" localSheetId="0" hidden="1">#REF!</definedName>
    <definedName name="_______lb10" hidden="1">#REF!</definedName>
    <definedName name="_______lb11" localSheetId="0" hidden="1">#REF!</definedName>
    <definedName name="_______lb11" hidden="1">#REF!</definedName>
    <definedName name="_______lb12" localSheetId="0" hidden="1">#REF!</definedName>
    <definedName name="_______lb12" hidden="1">#REF!</definedName>
    <definedName name="_______lb13" localSheetId="0" hidden="1">#REF!</definedName>
    <definedName name="_______lb13" hidden="1">#REF!</definedName>
    <definedName name="_______lb14" localSheetId="0" hidden="1">#REF!</definedName>
    <definedName name="_______lb14" hidden="1">#REF!</definedName>
    <definedName name="_______lb15" localSheetId="0" hidden="1">#REF!</definedName>
    <definedName name="_______lb15" hidden="1">#REF!</definedName>
    <definedName name="_______lb16" localSheetId="0" hidden="1">#REF!</definedName>
    <definedName name="_______lb16" hidden="1">#REF!</definedName>
    <definedName name="_______lb17" localSheetId="0" hidden="1">#REF!</definedName>
    <definedName name="_______lb17" hidden="1">#REF!</definedName>
    <definedName name="_______lb18" localSheetId="0" hidden="1">#REF!</definedName>
    <definedName name="_______lb18" hidden="1">#REF!</definedName>
    <definedName name="_______lb19" localSheetId="0" hidden="1">#REF!</definedName>
    <definedName name="_______lb19" hidden="1">#REF!</definedName>
    <definedName name="_______lb2" localSheetId="0" hidden="1">#REF!</definedName>
    <definedName name="_______lb2" hidden="1">#REF!</definedName>
    <definedName name="_______lb20" localSheetId="0" hidden="1">#REF!</definedName>
    <definedName name="_______lb20" hidden="1">#REF!</definedName>
    <definedName name="_______lb21" localSheetId="0" hidden="1">#REF!</definedName>
    <definedName name="_______lb21" hidden="1">#REF!</definedName>
    <definedName name="_______lb22" localSheetId="0" hidden="1">#REF!</definedName>
    <definedName name="_______lb22" hidden="1">#REF!</definedName>
    <definedName name="_______lb23" localSheetId="0" hidden="1">#REF!</definedName>
    <definedName name="_______lb23" hidden="1">#REF!</definedName>
    <definedName name="_______lb24" localSheetId="0" hidden="1">#REF!</definedName>
    <definedName name="_______lb24" hidden="1">#REF!</definedName>
    <definedName name="_______lb25" localSheetId="0" hidden="1">#REF!</definedName>
    <definedName name="_______lb25" hidden="1">#REF!</definedName>
    <definedName name="_______lb27" localSheetId="0" hidden="1">#REF!</definedName>
    <definedName name="_______lb27" hidden="1">#REF!</definedName>
    <definedName name="_______lb28" localSheetId="0" hidden="1">#REF!</definedName>
    <definedName name="_______lb28" hidden="1">#REF!</definedName>
    <definedName name="_______lb29" localSheetId="0" hidden="1">#REF!</definedName>
    <definedName name="_______lb29" hidden="1">#REF!</definedName>
    <definedName name="_______lb3" localSheetId="0" hidden="1">#REF!</definedName>
    <definedName name="_______lb3" hidden="1">#REF!</definedName>
    <definedName name="_______lb30" localSheetId="0" hidden="1">#REF!</definedName>
    <definedName name="_______lb30" hidden="1">#REF!</definedName>
    <definedName name="_______lb31" localSheetId="0" hidden="1">#REF!</definedName>
    <definedName name="_______lb31" hidden="1">#REF!</definedName>
    <definedName name="_______lb32" localSheetId="0" hidden="1">#REF!</definedName>
    <definedName name="_______lb32" hidden="1">#REF!</definedName>
    <definedName name="_______lb4" localSheetId="0" hidden="1">#REF!</definedName>
    <definedName name="_______lb4" hidden="1">#REF!</definedName>
    <definedName name="_______lb5" localSheetId="0" hidden="1">#REF!</definedName>
    <definedName name="_______lb5" hidden="1">#REF!</definedName>
    <definedName name="_______lb6" localSheetId="0" hidden="1">#REF!</definedName>
    <definedName name="_______lb6" hidden="1">#REF!</definedName>
    <definedName name="_______lb7" localSheetId="0" hidden="1">#REF!</definedName>
    <definedName name="_______lb7" hidden="1">#REF!</definedName>
    <definedName name="_______lb8" localSheetId="0" hidden="1">#REF!</definedName>
    <definedName name="_______lb8" hidden="1">#REF!</definedName>
    <definedName name="_______lb9" localSheetId="0" hidden="1">#REF!</definedName>
    <definedName name="_______lb9" hidden="1">#REF!</definedName>
    <definedName name="_______lbc1" localSheetId="0" hidden="1">#REF!</definedName>
    <definedName name="_______lbc1" hidden="1">#REF!</definedName>
    <definedName name="_______lbc10" localSheetId="0" hidden="1">#REF!</definedName>
    <definedName name="_______lbc10" hidden="1">#REF!</definedName>
    <definedName name="_______lbc11" localSheetId="0" hidden="1">#REF!</definedName>
    <definedName name="_______lbc11" hidden="1">#REF!</definedName>
    <definedName name="_______lbc12" localSheetId="0" hidden="1">#REF!</definedName>
    <definedName name="_______lbc12" hidden="1">#REF!</definedName>
    <definedName name="_______lbc13" localSheetId="0" hidden="1">#REF!</definedName>
    <definedName name="_______lbc13" hidden="1">#REF!</definedName>
    <definedName name="_______lbc14" localSheetId="0" hidden="1">#REF!</definedName>
    <definedName name="_______lbc14" hidden="1">#REF!</definedName>
    <definedName name="_______lbc15" localSheetId="0" hidden="1">#REF!</definedName>
    <definedName name="_______lbc15" hidden="1">#REF!</definedName>
    <definedName name="_______lbc16" localSheetId="0" hidden="1">#REF!</definedName>
    <definedName name="_______lbc16" hidden="1">#REF!</definedName>
    <definedName name="_______lbc17" localSheetId="0" hidden="1">#REF!</definedName>
    <definedName name="_______lbc17" hidden="1">#REF!</definedName>
    <definedName name="_______lbc18" localSheetId="0" hidden="1">#REF!</definedName>
    <definedName name="_______lbc18" hidden="1">#REF!</definedName>
    <definedName name="_______lbc19" localSheetId="0" hidden="1">#REF!</definedName>
    <definedName name="_______lbc19" hidden="1">#REF!</definedName>
    <definedName name="_______lbc2" localSheetId="0" hidden="1">#REF!</definedName>
    <definedName name="_______lbc2" hidden="1">#REF!</definedName>
    <definedName name="_______lbc20" localSheetId="0" hidden="1">#REF!</definedName>
    <definedName name="_______lbc20" hidden="1">#REF!</definedName>
    <definedName name="_______lbc21" localSheetId="0" hidden="1">#REF!</definedName>
    <definedName name="_______lbc21" hidden="1">#REF!</definedName>
    <definedName name="_______lbc22" localSheetId="0" hidden="1">#REF!</definedName>
    <definedName name="_______lbc22" hidden="1">#REF!</definedName>
    <definedName name="_______lbc23" localSheetId="0" hidden="1">#REF!</definedName>
    <definedName name="_______lbc23" hidden="1">#REF!</definedName>
    <definedName name="_______lbc24" localSheetId="0" hidden="1">#REF!</definedName>
    <definedName name="_______lbc24" hidden="1">#REF!</definedName>
    <definedName name="_______lbc25" localSheetId="0" hidden="1">#REF!</definedName>
    <definedName name="_______lbc25" hidden="1">#REF!</definedName>
    <definedName name="_______lbc26" localSheetId="0" hidden="1">#REF!</definedName>
    <definedName name="_______lbc26" hidden="1">#REF!</definedName>
    <definedName name="_______lbc27" localSheetId="0" hidden="1">#REF!</definedName>
    <definedName name="_______lbc27" hidden="1">#REF!</definedName>
    <definedName name="_______lbc28" localSheetId="0" hidden="1">#REF!</definedName>
    <definedName name="_______lbc28" hidden="1">#REF!</definedName>
    <definedName name="_______lbc29" localSheetId="0" hidden="1">#REF!</definedName>
    <definedName name="_______lbc29" hidden="1">#REF!</definedName>
    <definedName name="_______lbc3" localSheetId="0" hidden="1">#REF!</definedName>
    <definedName name="_______lbc3" hidden="1">#REF!</definedName>
    <definedName name="_______lbc31" localSheetId="0" hidden="1">#REF!</definedName>
    <definedName name="_______lbc31" hidden="1">#REF!</definedName>
    <definedName name="_______lbc32" localSheetId="0" hidden="1">#REF!</definedName>
    <definedName name="_______lbc32" hidden="1">#REF!</definedName>
    <definedName name="_______lbc4" localSheetId="0" hidden="1">#REF!</definedName>
    <definedName name="_______lbc4" hidden="1">#REF!</definedName>
    <definedName name="_______lbc5" localSheetId="0" hidden="1">#REF!</definedName>
    <definedName name="_______lbc5" hidden="1">#REF!</definedName>
    <definedName name="_______lbc6" localSheetId="0" hidden="1">#REF!</definedName>
    <definedName name="_______lbc6" hidden="1">#REF!</definedName>
    <definedName name="_______lbc7" localSheetId="0" hidden="1">#REF!</definedName>
    <definedName name="_______lbc7" hidden="1">#REF!</definedName>
    <definedName name="_______lbc8" localSheetId="0" hidden="1">#REF!</definedName>
    <definedName name="_______lbc8" hidden="1">#REF!</definedName>
    <definedName name="_______lbc9" localSheetId="0" hidden="1">#REF!</definedName>
    <definedName name="_______lbc9" hidden="1">#REF!</definedName>
    <definedName name="_______ld26" localSheetId="0" hidden="1">#REF!</definedName>
    <definedName name="_______ld26" hidden="1">#REF!</definedName>
    <definedName name="_______ld31" localSheetId="0" hidden="1">#REF!</definedName>
    <definedName name="_______ld31" hidden="1">#REF!</definedName>
    <definedName name="_______le31" localSheetId="0" hidden="1">#REF!</definedName>
    <definedName name="_______le31" hidden="1">#REF!</definedName>
    <definedName name="_______lf31" localSheetId="0" hidden="1">#REF!</definedName>
    <definedName name="_______lf31" hidden="1">#REF!</definedName>
    <definedName name="_______x10" localSheetId="0" hidden="1">#REF!</definedName>
    <definedName name="_______x10" hidden="1">#REF!</definedName>
    <definedName name="_______x11" localSheetId="0" hidden="1">#REF!</definedName>
    <definedName name="_______x11" hidden="1">#REF!</definedName>
    <definedName name="_______x12" localSheetId="0" hidden="1">#REF!</definedName>
    <definedName name="_______x12" hidden="1">#REF!</definedName>
    <definedName name="_______x13" localSheetId="0" hidden="1">#REF!</definedName>
    <definedName name="_______x13" hidden="1">#REF!</definedName>
    <definedName name="_______x14" localSheetId="0" hidden="1">#REF!</definedName>
    <definedName name="_______x14" hidden="1">#REF!</definedName>
    <definedName name="_______x15" localSheetId="0" hidden="1">#REF!</definedName>
    <definedName name="_______x15" hidden="1">#REF!</definedName>
    <definedName name="_______x16" localSheetId="0" hidden="1">#REF!</definedName>
    <definedName name="_______x16" hidden="1">#REF!</definedName>
    <definedName name="_______x17" localSheetId="0" hidden="1">#REF!</definedName>
    <definedName name="_______x17" hidden="1">#REF!</definedName>
    <definedName name="_______x18" localSheetId="0" hidden="1">#REF!</definedName>
    <definedName name="_______x18" hidden="1">#REF!</definedName>
    <definedName name="_______x19" localSheetId="0" hidden="1">#REF!</definedName>
    <definedName name="_______x19" hidden="1">#REF!</definedName>
    <definedName name="_______x20" localSheetId="0" hidden="1">#REF!</definedName>
    <definedName name="_______x20" hidden="1">#REF!</definedName>
    <definedName name="_______x21" localSheetId="0" hidden="1">#REF!</definedName>
    <definedName name="_______x21" hidden="1">#REF!</definedName>
    <definedName name="_______x22" localSheetId="0" hidden="1">#REF!</definedName>
    <definedName name="_______x22" hidden="1">#REF!</definedName>
    <definedName name="_______x23" localSheetId="0" hidden="1">#REF!</definedName>
    <definedName name="_______x23" hidden="1">#REF!</definedName>
    <definedName name="_______x24" localSheetId="0" hidden="1">#REF!</definedName>
    <definedName name="_______x24" hidden="1">#REF!</definedName>
    <definedName name="_______x25" localSheetId="0" hidden="1">#REF!</definedName>
    <definedName name="_______x25" hidden="1">#REF!</definedName>
    <definedName name="_______x28" localSheetId="0" hidden="1">#REF!</definedName>
    <definedName name="_______x28" hidden="1">#REF!</definedName>
    <definedName name="_______x29" localSheetId="0" hidden="1">#REF!</definedName>
    <definedName name="_______x29" hidden="1">#REF!</definedName>
    <definedName name="_______x32" localSheetId="0" hidden="1">#REF!</definedName>
    <definedName name="_______x32" hidden="1">#REF!</definedName>
    <definedName name="_______x4" localSheetId="0" hidden="1">#REF!</definedName>
    <definedName name="_______x4" hidden="1">#REF!</definedName>
    <definedName name="_______x5" localSheetId="0" hidden="1">#REF!</definedName>
    <definedName name="_______x5" hidden="1">#REF!</definedName>
    <definedName name="_______x6" localSheetId="0" hidden="1">#REF!</definedName>
    <definedName name="_______x6" hidden="1">#REF!</definedName>
    <definedName name="_______x7" localSheetId="0" hidden="1">#REF!</definedName>
    <definedName name="_______x7" hidden="1">#REF!</definedName>
    <definedName name="_______x8" localSheetId="0" hidden="1">#REF!</definedName>
    <definedName name="_______x8" hidden="1">#REF!</definedName>
    <definedName name="_______x9" localSheetId="0" hidden="1">#REF!</definedName>
    <definedName name="_______x9" hidden="1">#REF!</definedName>
    <definedName name="______INV12">#REF!</definedName>
    <definedName name="______INV13">#REF!</definedName>
    <definedName name="______inv2">#REF!</definedName>
    <definedName name="______la29" localSheetId="27" hidden="1">#REF!</definedName>
    <definedName name="______la29" localSheetId="0" hidden="1">#REF!</definedName>
    <definedName name="______la29" hidden="1">#REF!</definedName>
    <definedName name="______la3" localSheetId="27" hidden="1">#REF!</definedName>
    <definedName name="______la3" localSheetId="0" hidden="1">#REF!</definedName>
    <definedName name="______la3" hidden="1">#REF!</definedName>
    <definedName name="______la31" localSheetId="27" hidden="1">#REF!</definedName>
    <definedName name="______la31" localSheetId="0" hidden="1">#REF!</definedName>
    <definedName name="______la31" hidden="1">#REF!</definedName>
    <definedName name="______la32" localSheetId="0" hidden="1">#REF!</definedName>
    <definedName name="______la32" hidden="1">#REF!</definedName>
    <definedName name="______la4" localSheetId="0" hidden="1">#REF!</definedName>
    <definedName name="______la4" hidden="1">#REF!</definedName>
    <definedName name="______la5" localSheetId="0" hidden="1">#REF!</definedName>
    <definedName name="______la5" hidden="1">#REF!</definedName>
    <definedName name="______la6" localSheetId="0" hidden="1">#REF!</definedName>
    <definedName name="______la6" hidden="1">#REF!</definedName>
    <definedName name="______la7" localSheetId="0" hidden="1">#REF!</definedName>
    <definedName name="______la7" hidden="1">#REF!</definedName>
    <definedName name="______la8" localSheetId="0" hidden="1">#REF!</definedName>
    <definedName name="______la8" hidden="1">#REF!</definedName>
    <definedName name="______la9" localSheetId="0" hidden="1">#REF!</definedName>
    <definedName name="______la9" hidden="1">#REF!</definedName>
    <definedName name="______lb1" localSheetId="0" hidden="1">#REF!</definedName>
    <definedName name="______lb1" hidden="1">#REF!</definedName>
    <definedName name="______lb10" localSheetId="0" hidden="1">#REF!</definedName>
    <definedName name="______lb10" hidden="1">#REF!</definedName>
    <definedName name="______lb11" localSheetId="0" hidden="1">#REF!</definedName>
    <definedName name="______lb11" hidden="1">#REF!</definedName>
    <definedName name="______lb12" localSheetId="0" hidden="1">#REF!</definedName>
    <definedName name="______lb12" hidden="1">#REF!</definedName>
    <definedName name="______lb13" localSheetId="0" hidden="1">#REF!</definedName>
    <definedName name="______lb13" hidden="1">#REF!</definedName>
    <definedName name="______lb14" localSheetId="0" hidden="1">#REF!</definedName>
    <definedName name="______lb14" hidden="1">#REF!</definedName>
    <definedName name="______lb15" localSheetId="0" hidden="1">#REF!</definedName>
    <definedName name="______lb15" hidden="1">#REF!</definedName>
    <definedName name="______lb16" localSheetId="0" hidden="1">#REF!</definedName>
    <definedName name="______lb16" hidden="1">#REF!</definedName>
    <definedName name="______lb17" localSheetId="0" hidden="1">#REF!</definedName>
    <definedName name="______lb17" hidden="1">#REF!</definedName>
    <definedName name="______lb18" localSheetId="0" hidden="1">#REF!</definedName>
    <definedName name="______lb18" hidden="1">#REF!</definedName>
    <definedName name="______lb19" localSheetId="0" hidden="1">#REF!</definedName>
    <definedName name="______lb19" hidden="1">#REF!</definedName>
    <definedName name="______lb2" localSheetId="0" hidden="1">#REF!</definedName>
    <definedName name="______lb2" hidden="1">#REF!</definedName>
    <definedName name="______lb20" localSheetId="0" hidden="1">#REF!</definedName>
    <definedName name="______lb20" hidden="1">#REF!</definedName>
    <definedName name="______lb21" localSheetId="0" hidden="1">#REF!</definedName>
    <definedName name="______lb21" hidden="1">#REF!</definedName>
    <definedName name="______lb22" localSheetId="0" hidden="1">#REF!</definedName>
    <definedName name="______lb22" hidden="1">#REF!</definedName>
    <definedName name="______lb23" localSheetId="0" hidden="1">#REF!</definedName>
    <definedName name="______lb23" hidden="1">#REF!</definedName>
    <definedName name="______lb24" localSheetId="0" hidden="1">#REF!</definedName>
    <definedName name="______lb24" hidden="1">#REF!</definedName>
    <definedName name="______lb25" localSheetId="0" hidden="1">#REF!</definedName>
    <definedName name="______lb25" hidden="1">#REF!</definedName>
    <definedName name="______lb27" localSheetId="0" hidden="1">#REF!</definedName>
    <definedName name="______lb27" hidden="1">#REF!</definedName>
    <definedName name="______lb28" localSheetId="0" hidden="1">#REF!</definedName>
    <definedName name="______lb28" hidden="1">#REF!</definedName>
    <definedName name="______lb29" localSheetId="0" hidden="1">#REF!</definedName>
    <definedName name="______lb29" hidden="1">#REF!</definedName>
    <definedName name="______lb3" localSheetId="0" hidden="1">#REF!</definedName>
    <definedName name="______lb3" hidden="1">#REF!</definedName>
    <definedName name="______lb30" localSheetId="0" hidden="1">#REF!</definedName>
    <definedName name="______lb30" hidden="1">#REF!</definedName>
    <definedName name="______lb31" localSheetId="0" hidden="1">#REF!</definedName>
    <definedName name="______lb31" hidden="1">#REF!</definedName>
    <definedName name="______lb32" localSheetId="0" hidden="1">#REF!</definedName>
    <definedName name="______lb32" hidden="1">#REF!</definedName>
    <definedName name="______lb4" localSheetId="0" hidden="1">#REF!</definedName>
    <definedName name="______lb4" hidden="1">#REF!</definedName>
    <definedName name="______lb5" localSheetId="0" hidden="1">#REF!</definedName>
    <definedName name="______lb5" hidden="1">#REF!</definedName>
    <definedName name="______lb6" localSheetId="0" hidden="1">#REF!</definedName>
    <definedName name="______lb6" hidden="1">#REF!</definedName>
    <definedName name="______lb7" localSheetId="0" hidden="1">#REF!</definedName>
    <definedName name="______lb7" hidden="1">#REF!</definedName>
    <definedName name="______lb8" localSheetId="0" hidden="1">#REF!</definedName>
    <definedName name="______lb8" hidden="1">#REF!</definedName>
    <definedName name="______lb9" localSheetId="0" hidden="1">#REF!</definedName>
    <definedName name="______lb9" hidden="1">#REF!</definedName>
    <definedName name="______lbc1" localSheetId="0" hidden="1">#REF!</definedName>
    <definedName name="______lbc1" hidden="1">#REF!</definedName>
    <definedName name="______lbc10" localSheetId="0" hidden="1">#REF!</definedName>
    <definedName name="______lbc10" hidden="1">#REF!</definedName>
    <definedName name="______lbc11" localSheetId="0" hidden="1">#REF!</definedName>
    <definedName name="______lbc11" hidden="1">#REF!</definedName>
    <definedName name="______lbc12" localSheetId="0" hidden="1">#REF!</definedName>
    <definedName name="______lbc12" hidden="1">#REF!</definedName>
    <definedName name="______lbc13" localSheetId="0" hidden="1">#REF!</definedName>
    <definedName name="______lbc13" hidden="1">#REF!</definedName>
    <definedName name="______lbc14" localSheetId="0" hidden="1">#REF!</definedName>
    <definedName name="______lbc14" hidden="1">#REF!</definedName>
    <definedName name="______lbc15" localSheetId="0" hidden="1">#REF!</definedName>
    <definedName name="______lbc15" hidden="1">#REF!</definedName>
    <definedName name="______lbc16" localSheetId="0" hidden="1">#REF!</definedName>
    <definedName name="______lbc16" hidden="1">#REF!</definedName>
    <definedName name="______lbc17" localSheetId="0" hidden="1">#REF!</definedName>
    <definedName name="______lbc17" hidden="1">#REF!</definedName>
    <definedName name="______lbc18" localSheetId="0" hidden="1">#REF!</definedName>
    <definedName name="______lbc18" hidden="1">#REF!</definedName>
    <definedName name="______lbc19" localSheetId="0" hidden="1">#REF!</definedName>
    <definedName name="______lbc19" hidden="1">#REF!</definedName>
    <definedName name="______lbc2" localSheetId="0" hidden="1">#REF!</definedName>
    <definedName name="______lbc2" hidden="1">#REF!</definedName>
    <definedName name="______lbc20" localSheetId="0" hidden="1">#REF!</definedName>
    <definedName name="______lbc20" hidden="1">#REF!</definedName>
    <definedName name="______lbc21" localSheetId="0" hidden="1">#REF!</definedName>
    <definedName name="______lbc21" hidden="1">#REF!</definedName>
    <definedName name="______lbc22" localSheetId="0" hidden="1">#REF!</definedName>
    <definedName name="______lbc22" hidden="1">#REF!</definedName>
    <definedName name="______lbc23" localSheetId="0" hidden="1">#REF!</definedName>
    <definedName name="______lbc23" hidden="1">#REF!</definedName>
    <definedName name="______lbc24" localSheetId="0" hidden="1">#REF!</definedName>
    <definedName name="______lbc24" hidden="1">#REF!</definedName>
    <definedName name="______lbc25" localSheetId="0" hidden="1">#REF!</definedName>
    <definedName name="______lbc25" hidden="1">#REF!</definedName>
    <definedName name="______lbc26" localSheetId="0" hidden="1">#REF!</definedName>
    <definedName name="______lbc26" hidden="1">#REF!</definedName>
    <definedName name="______lbc27" localSheetId="0" hidden="1">#REF!</definedName>
    <definedName name="______lbc27" hidden="1">#REF!</definedName>
    <definedName name="______lbc28" localSheetId="0" hidden="1">#REF!</definedName>
    <definedName name="______lbc28" hidden="1">#REF!</definedName>
    <definedName name="______lbc29" localSheetId="0" hidden="1">#REF!</definedName>
    <definedName name="______lbc29" hidden="1">#REF!</definedName>
    <definedName name="______lbc3" localSheetId="0" hidden="1">#REF!</definedName>
    <definedName name="______lbc3" hidden="1">#REF!</definedName>
    <definedName name="______lbc31" localSheetId="0" hidden="1">#REF!</definedName>
    <definedName name="______lbc31" hidden="1">#REF!</definedName>
    <definedName name="______lbc32" localSheetId="0" hidden="1">#REF!</definedName>
    <definedName name="______lbc32" hidden="1">#REF!</definedName>
    <definedName name="______lbc4" localSheetId="0" hidden="1">#REF!</definedName>
    <definedName name="______lbc4" hidden="1">#REF!</definedName>
    <definedName name="______lbc5" localSheetId="0" hidden="1">#REF!</definedName>
    <definedName name="______lbc5" hidden="1">#REF!</definedName>
    <definedName name="______lbc6" localSheetId="0" hidden="1">#REF!</definedName>
    <definedName name="______lbc6" hidden="1">#REF!</definedName>
    <definedName name="______lbc7" localSheetId="0" hidden="1">#REF!</definedName>
    <definedName name="______lbc7" hidden="1">#REF!</definedName>
    <definedName name="______lbc8" localSheetId="0" hidden="1">#REF!</definedName>
    <definedName name="______lbc8" hidden="1">#REF!</definedName>
    <definedName name="______lbc9" localSheetId="0" hidden="1">#REF!</definedName>
    <definedName name="______lbc9" hidden="1">#REF!</definedName>
    <definedName name="______ld26" localSheetId="0" hidden="1">#REF!</definedName>
    <definedName name="______ld26" hidden="1">#REF!</definedName>
    <definedName name="______ld31" localSheetId="0" hidden="1">#REF!</definedName>
    <definedName name="______ld31" hidden="1">#REF!</definedName>
    <definedName name="______le31" localSheetId="0" hidden="1">#REF!</definedName>
    <definedName name="______le31" hidden="1">#REF!</definedName>
    <definedName name="______lf31" localSheetId="0" hidden="1">#REF!</definedName>
    <definedName name="______lf31" hidden="1">#REF!</definedName>
    <definedName name="______x10" localSheetId="0" hidden="1">#REF!</definedName>
    <definedName name="______x10" hidden="1">#REF!</definedName>
    <definedName name="______x11" localSheetId="0" hidden="1">#REF!</definedName>
    <definedName name="______x11" hidden="1">#REF!</definedName>
    <definedName name="______x12" localSheetId="0" hidden="1">#REF!</definedName>
    <definedName name="______x12" hidden="1">#REF!</definedName>
    <definedName name="______x13" localSheetId="0" hidden="1">#REF!</definedName>
    <definedName name="______x13" hidden="1">#REF!</definedName>
    <definedName name="______x14" localSheetId="0" hidden="1">#REF!</definedName>
    <definedName name="______x14" hidden="1">#REF!</definedName>
    <definedName name="______x15" localSheetId="0" hidden="1">#REF!</definedName>
    <definedName name="______x15" hidden="1">#REF!</definedName>
    <definedName name="______x16" localSheetId="0" hidden="1">#REF!</definedName>
    <definedName name="______x16" hidden="1">#REF!</definedName>
    <definedName name="______x17" localSheetId="0" hidden="1">#REF!</definedName>
    <definedName name="______x17" hidden="1">#REF!</definedName>
    <definedName name="______x18" localSheetId="0" hidden="1">#REF!</definedName>
    <definedName name="______x18" hidden="1">#REF!</definedName>
    <definedName name="______x19" localSheetId="0" hidden="1">#REF!</definedName>
    <definedName name="______x19" hidden="1">#REF!</definedName>
    <definedName name="______x20" localSheetId="0" hidden="1">#REF!</definedName>
    <definedName name="______x20" hidden="1">#REF!</definedName>
    <definedName name="______x21" localSheetId="0" hidden="1">#REF!</definedName>
    <definedName name="______x21" hidden="1">#REF!</definedName>
    <definedName name="______x22" localSheetId="0" hidden="1">#REF!</definedName>
    <definedName name="______x22" hidden="1">#REF!</definedName>
    <definedName name="______x23" localSheetId="0" hidden="1">#REF!</definedName>
    <definedName name="______x23" hidden="1">#REF!</definedName>
    <definedName name="______x24" localSheetId="0" hidden="1">#REF!</definedName>
    <definedName name="______x24" hidden="1">#REF!</definedName>
    <definedName name="______x25" localSheetId="0" hidden="1">#REF!</definedName>
    <definedName name="______x25" hidden="1">#REF!</definedName>
    <definedName name="______x28" localSheetId="0" hidden="1">#REF!</definedName>
    <definedName name="______x28" hidden="1">#REF!</definedName>
    <definedName name="______x29" localSheetId="0" hidden="1">#REF!</definedName>
    <definedName name="______x29" hidden="1">#REF!</definedName>
    <definedName name="______x32" localSheetId="0" hidden="1">#REF!</definedName>
    <definedName name="______x32" hidden="1">#REF!</definedName>
    <definedName name="______x4" localSheetId="0" hidden="1">#REF!</definedName>
    <definedName name="______x4" hidden="1">#REF!</definedName>
    <definedName name="______x5" localSheetId="0" hidden="1">#REF!</definedName>
    <definedName name="______x5" hidden="1">#REF!</definedName>
    <definedName name="______x6" localSheetId="0" hidden="1">#REF!</definedName>
    <definedName name="______x6" hidden="1">#REF!</definedName>
    <definedName name="______x7" localSheetId="0" hidden="1">#REF!</definedName>
    <definedName name="______x7" hidden="1">#REF!</definedName>
    <definedName name="______x8" localSheetId="0" hidden="1">#REF!</definedName>
    <definedName name="______x8" hidden="1">#REF!</definedName>
    <definedName name="______x9" localSheetId="0" hidden="1">#REF!</definedName>
    <definedName name="______x9" hidden="1">#REF!</definedName>
    <definedName name="_____INV12">#REF!</definedName>
    <definedName name="_____INV13">#REF!</definedName>
    <definedName name="_____inv2">#REF!</definedName>
    <definedName name="_____la29" localSheetId="27" hidden="1">#REF!</definedName>
    <definedName name="_____la29" localSheetId="0" hidden="1">#REF!</definedName>
    <definedName name="_____la29" hidden="1">#REF!</definedName>
    <definedName name="_____la3" localSheetId="27" hidden="1">#REF!</definedName>
    <definedName name="_____la3" localSheetId="0" hidden="1">#REF!</definedName>
    <definedName name="_____la3" hidden="1">#REF!</definedName>
    <definedName name="_____la31" localSheetId="27" hidden="1">#REF!</definedName>
    <definedName name="_____la31" localSheetId="0" hidden="1">#REF!</definedName>
    <definedName name="_____la31" hidden="1">#REF!</definedName>
    <definedName name="_____la32" localSheetId="0" hidden="1">#REF!</definedName>
    <definedName name="_____la32" hidden="1">#REF!</definedName>
    <definedName name="_____la4" localSheetId="0" hidden="1">#REF!</definedName>
    <definedName name="_____la4" hidden="1">#REF!</definedName>
    <definedName name="_____la5" localSheetId="0" hidden="1">#REF!</definedName>
    <definedName name="_____la5" hidden="1">#REF!</definedName>
    <definedName name="_____la6" localSheetId="0" hidden="1">#REF!</definedName>
    <definedName name="_____la6" hidden="1">#REF!</definedName>
    <definedName name="_____la7" localSheetId="0" hidden="1">#REF!</definedName>
    <definedName name="_____la7" hidden="1">#REF!</definedName>
    <definedName name="_____la8" localSheetId="0" hidden="1">#REF!</definedName>
    <definedName name="_____la8" hidden="1">#REF!</definedName>
    <definedName name="_____la9" localSheetId="0" hidden="1">#REF!</definedName>
    <definedName name="_____la9" hidden="1">#REF!</definedName>
    <definedName name="_____lb1" localSheetId="0" hidden="1">#REF!</definedName>
    <definedName name="_____lb1" hidden="1">#REF!</definedName>
    <definedName name="_____lb10" localSheetId="0" hidden="1">#REF!</definedName>
    <definedName name="_____lb10" hidden="1">#REF!</definedName>
    <definedName name="_____lb11" localSheetId="0" hidden="1">#REF!</definedName>
    <definedName name="_____lb11" hidden="1">#REF!</definedName>
    <definedName name="_____lb12" localSheetId="0" hidden="1">#REF!</definedName>
    <definedName name="_____lb12" hidden="1">#REF!</definedName>
    <definedName name="_____lb13" localSheetId="0" hidden="1">#REF!</definedName>
    <definedName name="_____lb13" hidden="1">#REF!</definedName>
    <definedName name="_____lb14" localSheetId="0" hidden="1">#REF!</definedName>
    <definedName name="_____lb14" hidden="1">#REF!</definedName>
    <definedName name="_____lb15" localSheetId="0" hidden="1">#REF!</definedName>
    <definedName name="_____lb15" hidden="1">#REF!</definedName>
    <definedName name="_____lb16" localSheetId="0" hidden="1">#REF!</definedName>
    <definedName name="_____lb16" hidden="1">#REF!</definedName>
    <definedName name="_____lb17" localSheetId="0" hidden="1">#REF!</definedName>
    <definedName name="_____lb17" hidden="1">#REF!</definedName>
    <definedName name="_____lb18" localSheetId="0" hidden="1">#REF!</definedName>
    <definedName name="_____lb18" hidden="1">#REF!</definedName>
    <definedName name="_____lb19" localSheetId="0" hidden="1">#REF!</definedName>
    <definedName name="_____lb19" hidden="1">#REF!</definedName>
    <definedName name="_____lb2" localSheetId="0" hidden="1">#REF!</definedName>
    <definedName name="_____lb2" hidden="1">#REF!</definedName>
    <definedName name="_____lb20" localSheetId="0" hidden="1">#REF!</definedName>
    <definedName name="_____lb20" hidden="1">#REF!</definedName>
    <definedName name="_____lb21" localSheetId="0" hidden="1">#REF!</definedName>
    <definedName name="_____lb21" hidden="1">#REF!</definedName>
    <definedName name="_____lb22" localSheetId="0" hidden="1">#REF!</definedName>
    <definedName name="_____lb22" hidden="1">#REF!</definedName>
    <definedName name="_____lb23" localSheetId="0" hidden="1">#REF!</definedName>
    <definedName name="_____lb23" hidden="1">#REF!</definedName>
    <definedName name="_____lb24" localSheetId="0" hidden="1">#REF!</definedName>
    <definedName name="_____lb24" hidden="1">#REF!</definedName>
    <definedName name="_____lb25" localSheetId="0" hidden="1">#REF!</definedName>
    <definedName name="_____lb25" hidden="1">#REF!</definedName>
    <definedName name="_____lb27" localSheetId="0" hidden="1">#REF!</definedName>
    <definedName name="_____lb27" hidden="1">#REF!</definedName>
    <definedName name="_____lb28" localSheetId="0" hidden="1">#REF!</definedName>
    <definedName name="_____lb28" hidden="1">#REF!</definedName>
    <definedName name="_____lb29" localSheetId="0" hidden="1">#REF!</definedName>
    <definedName name="_____lb29" hidden="1">#REF!</definedName>
    <definedName name="_____lb3" localSheetId="0" hidden="1">#REF!</definedName>
    <definedName name="_____lb3" hidden="1">#REF!</definedName>
    <definedName name="_____lb30" localSheetId="0" hidden="1">#REF!</definedName>
    <definedName name="_____lb30" hidden="1">#REF!</definedName>
    <definedName name="_____lb31" localSheetId="0" hidden="1">#REF!</definedName>
    <definedName name="_____lb31" hidden="1">#REF!</definedName>
    <definedName name="_____lb32" localSheetId="0" hidden="1">#REF!</definedName>
    <definedName name="_____lb32" hidden="1">#REF!</definedName>
    <definedName name="_____lb4" localSheetId="0" hidden="1">#REF!</definedName>
    <definedName name="_____lb4" hidden="1">#REF!</definedName>
    <definedName name="_____lb5" localSheetId="0" hidden="1">#REF!</definedName>
    <definedName name="_____lb5" hidden="1">#REF!</definedName>
    <definedName name="_____lb6" localSheetId="0" hidden="1">#REF!</definedName>
    <definedName name="_____lb6" hidden="1">#REF!</definedName>
    <definedName name="_____lb7" localSheetId="0" hidden="1">#REF!</definedName>
    <definedName name="_____lb7" hidden="1">#REF!</definedName>
    <definedName name="_____lb8" localSheetId="0" hidden="1">#REF!</definedName>
    <definedName name="_____lb8" hidden="1">#REF!</definedName>
    <definedName name="_____lb9" localSheetId="0" hidden="1">#REF!</definedName>
    <definedName name="_____lb9" hidden="1">#REF!</definedName>
    <definedName name="_____lbc1" localSheetId="0" hidden="1">#REF!</definedName>
    <definedName name="_____lbc1" hidden="1">#REF!</definedName>
    <definedName name="_____lbc10" localSheetId="0" hidden="1">#REF!</definedName>
    <definedName name="_____lbc10" hidden="1">#REF!</definedName>
    <definedName name="_____lbc11" localSheetId="0" hidden="1">#REF!</definedName>
    <definedName name="_____lbc11" hidden="1">#REF!</definedName>
    <definedName name="_____lbc12" localSheetId="0" hidden="1">#REF!</definedName>
    <definedName name="_____lbc12" hidden="1">#REF!</definedName>
    <definedName name="_____lbc13" localSheetId="0" hidden="1">#REF!</definedName>
    <definedName name="_____lbc13" hidden="1">#REF!</definedName>
    <definedName name="_____lbc14" localSheetId="0" hidden="1">#REF!</definedName>
    <definedName name="_____lbc14" hidden="1">#REF!</definedName>
    <definedName name="_____lbc15" localSheetId="0" hidden="1">#REF!</definedName>
    <definedName name="_____lbc15" hidden="1">#REF!</definedName>
    <definedName name="_____lbc16" localSheetId="0" hidden="1">#REF!</definedName>
    <definedName name="_____lbc16" hidden="1">#REF!</definedName>
    <definedName name="_____lbc17" localSheetId="0" hidden="1">#REF!</definedName>
    <definedName name="_____lbc17" hidden="1">#REF!</definedName>
    <definedName name="_____lbc18" localSheetId="0" hidden="1">#REF!</definedName>
    <definedName name="_____lbc18" hidden="1">#REF!</definedName>
    <definedName name="_____lbc19" localSheetId="0" hidden="1">#REF!</definedName>
    <definedName name="_____lbc19" hidden="1">#REF!</definedName>
    <definedName name="_____lbc2" localSheetId="0" hidden="1">#REF!</definedName>
    <definedName name="_____lbc2" hidden="1">#REF!</definedName>
    <definedName name="_____lbc20" localSheetId="0" hidden="1">#REF!</definedName>
    <definedName name="_____lbc20" hidden="1">#REF!</definedName>
    <definedName name="_____lbc21" localSheetId="0" hidden="1">#REF!</definedName>
    <definedName name="_____lbc21" hidden="1">#REF!</definedName>
    <definedName name="_____lbc22" localSheetId="0" hidden="1">#REF!</definedName>
    <definedName name="_____lbc22" hidden="1">#REF!</definedName>
    <definedName name="_____lbc23" localSheetId="0" hidden="1">#REF!</definedName>
    <definedName name="_____lbc23" hidden="1">#REF!</definedName>
    <definedName name="_____lbc24" localSheetId="0" hidden="1">#REF!</definedName>
    <definedName name="_____lbc24" hidden="1">#REF!</definedName>
    <definedName name="_____lbc25" localSheetId="0" hidden="1">#REF!</definedName>
    <definedName name="_____lbc25" hidden="1">#REF!</definedName>
    <definedName name="_____lbc26" localSheetId="0" hidden="1">#REF!</definedName>
    <definedName name="_____lbc26" hidden="1">#REF!</definedName>
    <definedName name="_____lbc27" localSheetId="0" hidden="1">#REF!</definedName>
    <definedName name="_____lbc27" hidden="1">#REF!</definedName>
    <definedName name="_____lbc28" localSheetId="0" hidden="1">#REF!</definedName>
    <definedName name="_____lbc28" hidden="1">#REF!</definedName>
    <definedName name="_____lbc29" localSheetId="0" hidden="1">#REF!</definedName>
    <definedName name="_____lbc29" hidden="1">#REF!</definedName>
    <definedName name="_____lbc3" localSheetId="0" hidden="1">#REF!</definedName>
    <definedName name="_____lbc3" hidden="1">#REF!</definedName>
    <definedName name="_____lbc31" localSheetId="0" hidden="1">#REF!</definedName>
    <definedName name="_____lbc31" hidden="1">#REF!</definedName>
    <definedName name="_____lbc32" localSheetId="0" hidden="1">#REF!</definedName>
    <definedName name="_____lbc32" hidden="1">#REF!</definedName>
    <definedName name="_____lbc4" localSheetId="0" hidden="1">#REF!</definedName>
    <definedName name="_____lbc4" hidden="1">#REF!</definedName>
    <definedName name="_____lbc5" localSheetId="0" hidden="1">#REF!</definedName>
    <definedName name="_____lbc5" hidden="1">#REF!</definedName>
    <definedName name="_____lbc6" localSheetId="0" hidden="1">#REF!</definedName>
    <definedName name="_____lbc6" hidden="1">#REF!</definedName>
    <definedName name="_____lbc7" localSheetId="0" hidden="1">#REF!</definedName>
    <definedName name="_____lbc7" hidden="1">#REF!</definedName>
    <definedName name="_____lbc8" localSheetId="0" hidden="1">#REF!</definedName>
    <definedName name="_____lbc8" hidden="1">#REF!</definedName>
    <definedName name="_____lbc9" localSheetId="0" hidden="1">#REF!</definedName>
    <definedName name="_____lbc9" hidden="1">#REF!</definedName>
    <definedName name="_____ld26" localSheetId="0" hidden="1">#REF!</definedName>
    <definedName name="_____ld26" hidden="1">#REF!</definedName>
    <definedName name="_____ld31" localSheetId="0" hidden="1">#REF!</definedName>
    <definedName name="_____ld31" hidden="1">#REF!</definedName>
    <definedName name="_____le31" localSheetId="0" hidden="1">#REF!</definedName>
    <definedName name="_____le31" hidden="1">#REF!</definedName>
    <definedName name="_____lf31" localSheetId="0" hidden="1">#REF!</definedName>
    <definedName name="_____lf31" hidden="1">#REF!</definedName>
    <definedName name="_____Orc2000">#REF!</definedName>
    <definedName name="_____x10" localSheetId="0" hidden="1">#REF!</definedName>
    <definedName name="_____x10" hidden="1">#REF!</definedName>
    <definedName name="_____x11" localSheetId="0" hidden="1">#REF!</definedName>
    <definedName name="_____x11" hidden="1">#REF!</definedName>
    <definedName name="_____x12" localSheetId="0" hidden="1">#REF!</definedName>
    <definedName name="_____x12" hidden="1">#REF!</definedName>
    <definedName name="_____x13" localSheetId="0" hidden="1">#REF!</definedName>
    <definedName name="_____x13" hidden="1">#REF!</definedName>
    <definedName name="_____x14" localSheetId="0" hidden="1">#REF!</definedName>
    <definedName name="_____x14" hidden="1">#REF!</definedName>
    <definedName name="_____x15" localSheetId="0" hidden="1">#REF!</definedName>
    <definedName name="_____x15" hidden="1">#REF!</definedName>
    <definedName name="_____x16" localSheetId="0" hidden="1">#REF!</definedName>
    <definedName name="_____x16" hidden="1">#REF!</definedName>
    <definedName name="_____x17" localSheetId="0" hidden="1">#REF!</definedName>
    <definedName name="_____x17" hidden="1">#REF!</definedName>
    <definedName name="_____x18" localSheetId="0" hidden="1">#REF!</definedName>
    <definedName name="_____x18" hidden="1">#REF!</definedName>
    <definedName name="_____x19" localSheetId="0" hidden="1">#REF!</definedName>
    <definedName name="_____x19" hidden="1">#REF!</definedName>
    <definedName name="_____x20" localSheetId="0" hidden="1">#REF!</definedName>
    <definedName name="_____x20" hidden="1">#REF!</definedName>
    <definedName name="_____x21" localSheetId="0" hidden="1">#REF!</definedName>
    <definedName name="_____x21" hidden="1">#REF!</definedName>
    <definedName name="_____x22" localSheetId="0" hidden="1">#REF!</definedName>
    <definedName name="_____x22" hidden="1">#REF!</definedName>
    <definedName name="_____x23" localSheetId="0" hidden="1">#REF!</definedName>
    <definedName name="_____x23" hidden="1">#REF!</definedName>
    <definedName name="_____x24" localSheetId="0" hidden="1">#REF!</definedName>
    <definedName name="_____x24" hidden="1">#REF!</definedName>
    <definedName name="_____x25" localSheetId="0" hidden="1">#REF!</definedName>
    <definedName name="_____x25" hidden="1">#REF!</definedName>
    <definedName name="_____x28" localSheetId="0" hidden="1">#REF!</definedName>
    <definedName name="_____x28" hidden="1">#REF!</definedName>
    <definedName name="_____x29" localSheetId="0" hidden="1">#REF!</definedName>
    <definedName name="_____x29" hidden="1">#REF!</definedName>
    <definedName name="_____x32" localSheetId="0" hidden="1">#REF!</definedName>
    <definedName name="_____x32" hidden="1">#REF!</definedName>
    <definedName name="_____x4" localSheetId="0" hidden="1">#REF!</definedName>
    <definedName name="_____x4" hidden="1">#REF!</definedName>
    <definedName name="_____x5" localSheetId="0" hidden="1">#REF!</definedName>
    <definedName name="_____x5" hidden="1">#REF!</definedName>
    <definedName name="_____x6" localSheetId="0" hidden="1">#REF!</definedName>
    <definedName name="_____x6" hidden="1">#REF!</definedName>
    <definedName name="_____x7" localSheetId="0" hidden="1">#REF!</definedName>
    <definedName name="_____x7" hidden="1">#REF!</definedName>
    <definedName name="_____x8" localSheetId="0" hidden="1">#REF!</definedName>
    <definedName name="_____x8" hidden="1">#REF!</definedName>
    <definedName name="_____x9" localSheetId="0" hidden="1">#REF!</definedName>
    <definedName name="_____x9" hidden="1">#REF!</definedName>
    <definedName name="____INV12">#REF!</definedName>
    <definedName name="____INV13">#REF!</definedName>
    <definedName name="____inv2">#REF!</definedName>
    <definedName name="____la29" localSheetId="27" hidden="1">#REF!</definedName>
    <definedName name="____la29" localSheetId="0" hidden="1">#REF!</definedName>
    <definedName name="____la29" hidden="1">#REF!</definedName>
    <definedName name="____la3" localSheetId="27" hidden="1">#REF!</definedName>
    <definedName name="____la3" localSheetId="0" hidden="1">#REF!</definedName>
    <definedName name="____la3" hidden="1">#REF!</definedName>
    <definedName name="____la31" localSheetId="27" hidden="1">#REF!</definedName>
    <definedName name="____la31" localSheetId="0" hidden="1">#REF!</definedName>
    <definedName name="____la31" hidden="1">#REF!</definedName>
    <definedName name="____la32" localSheetId="0" hidden="1">#REF!</definedName>
    <definedName name="____la32" hidden="1">#REF!</definedName>
    <definedName name="____la4" localSheetId="0" hidden="1">#REF!</definedName>
    <definedName name="____la4" hidden="1">#REF!</definedName>
    <definedName name="____la5" localSheetId="0" hidden="1">#REF!</definedName>
    <definedName name="____la5" hidden="1">#REF!</definedName>
    <definedName name="____la6" localSheetId="0" hidden="1">#REF!</definedName>
    <definedName name="____la6" hidden="1">#REF!</definedName>
    <definedName name="____la7" localSheetId="0" hidden="1">#REF!</definedName>
    <definedName name="____la7" hidden="1">#REF!</definedName>
    <definedName name="____la8" localSheetId="0" hidden="1">#REF!</definedName>
    <definedName name="____la8" hidden="1">#REF!</definedName>
    <definedName name="____la9" localSheetId="0" hidden="1">#REF!</definedName>
    <definedName name="____la9" hidden="1">#REF!</definedName>
    <definedName name="____lb1" localSheetId="0" hidden="1">#REF!</definedName>
    <definedName name="____lb1" hidden="1">#REF!</definedName>
    <definedName name="____lb10" localSheetId="0" hidden="1">#REF!</definedName>
    <definedName name="____lb10" hidden="1">#REF!</definedName>
    <definedName name="____lb11" localSheetId="0" hidden="1">#REF!</definedName>
    <definedName name="____lb11" hidden="1">#REF!</definedName>
    <definedName name="____lb12" localSheetId="0" hidden="1">#REF!</definedName>
    <definedName name="____lb12" hidden="1">#REF!</definedName>
    <definedName name="____lb13" localSheetId="0" hidden="1">#REF!</definedName>
    <definedName name="____lb13" hidden="1">#REF!</definedName>
    <definedName name="____lb14" localSheetId="0" hidden="1">#REF!</definedName>
    <definedName name="____lb14" hidden="1">#REF!</definedName>
    <definedName name="____lb15" localSheetId="0" hidden="1">#REF!</definedName>
    <definedName name="____lb15" hidden="1">#REF!</definedName>
    <definedName name="____lb16" localSheetId="0" hidden="1">#REF!</definedName>
    <definedName name="____lb16" hidden="1">#REF!</definedName>
    <definedName name="____lb17" localSheetId="0" hidden="1">#REF!</definedName>
    <definedName name="____lb17" hidden="1">#REF!</definedName>
    <definedName name="____lb18" localSheetId="0" hidden="1">#REF!</definedName>
    <definedName name="____lb18" hidden="1">#REF!</definedName>
    <definedName name="____lb19" localSheetId="0" hidden="1">#REF!</definedName>
    <definedName name="____lb19" hidden="1">#REF!</definedName>
    <definedName name="____lb2" localSheetId="0" hidden="1">#REF!</definedName>
    <definedName name="____lb2" hidden="1">#REF!</definedName>
    <definedName name="____lb20" localSheetId="0" hidden="1">#REF!</definedName>
    <definedName name="____lb20" hidden="1">#REF!</definedName>
    <definedName name="____lb21" localSheetId="0" hidden="1">#REF!</definedName>
    <definedName name="____lb21" hidden="1">#REF!</definedName>
    <definedName name="____lb22" localSheetId="0" hidden="1">#REF!</definedName>
    <definedName name="____lb22" hidden="1">#REF!</definedName>
    <definedName name="____lb23" localSheetId="0" hidden="1">#REF!</definedName>
    <definedName name="____lb23" hidden="1">#REF!</definedName>
    <definedName name="____lb24" localSheetId="0" hidden="1">#REF!</definedName>
    <definedName name="____lb24" hidden="1">#REF!</definedName>
    <definedName name="____lb25" localSheetId="0" hidden="1">#REF!</definedName>
    <definedName name="____lb25" hidden="1">#REF!</definedName>
    <definedName name="____lb27" localSheetId="0" hidden="1">#REF!</definedName>
    <definedName name="____lb27" hidden="1">#REF!</definedName>
    <definedName name="____lb28" localSheetId="0" hidden="1">#REF!</definedName>
    <definedName name="____lb28" hidden="1">#REF!</definedName>
    <definedName name="____lb29" localSheetId="0" hidden="1">#REF!</definedName>
    <definedName name="____lb29" hidden="1">#REF!</definedName>
    <definedName name="____lb3" localSheetId="0" hidden="1">#REF!</definedName>
    <definedName name="____lb3" hidden="1">#REF!</definedName>
    <definedName name="____lb30" localSheetId="0" hidden="1">#REF!</definedName>
    <definedName name="____lb30" hidden="1">#REF!</definedName>
    <definedName name="____lb31" localSheetId="0" hidden="1">#REF!</definedName>
    <definedName name="____lb31" hidden="1">#REF!</definedName>
    <definedName name="____lb32" localSheetId="0" hidden="1">#REF!</definedName>
    <definedName name="____lb32" hidden="1">#REF!</definedName>
    <definedName name="____lb4" localSheetId="0" hidden="1">#REF!</definedName>
    <definedName name="____lb4" hidden="1">#REF!</definedName>
    <definedName name="____lb5" localSheetId="0" hidden="1">#REF!</definedName>
    <definedName name="____lb5" hidden="1">#REF!</definedName>
    <definedName name="____lb6" localSheetId="0" hidden="1">#REF!</definedName>
    <definedName name="____lb6" hidden="1">#REF!</definedName>
    <definedName name="____lb7" localSheetId="0" hidden="1">#REF!</definedName>
    <definedName name="____lb7" hidden="1">#REF!</definedName>
    <definedName name="____lb8" localSheetId="0" hidden="1">#REF!</definedName>
    <definedName name="____lb8" hidden="1">#REF!</definedName>
    <definedName name="____lb9" localSheetId="0" hidden="1">#REF!</definedName>
    <definedName name="____lb9" hidden="1">#REF!</definedName>
    <definedName name="____lbc1" localSheetId="0" hidden="1">#REF!</definedName>
    <definedName name="____lbc1" hidden="1">#REF!</definedName>
    <definedName name="____lbc10" localSheetId="0" hidden="1">#REF!</definedName>
    <definedName name="____lbc10" hidden="1">#REF!</definedName>
    <definedName name="____lbc11" localSheetId="0" hidden="1">#REF!</definedName>
    <definedName name="____lbc11" hidden="1">#REF!</definedName>
    <definedName name="____lbc12" localSheetId="0" hidden="1">#REF!</definedName>
    <definedName name="____lbc12" hidden="1">#REF!</definedName>
    <definedName name="____lbc13" localSheetId="0" hidden="1">#REF!</definedName>
    <definedName name="____lbc13" hidden="1">#REF!</definedName>
    <definedName name="____lbc14" localSheetId="0" hidden="1">#REF!</definedName>
    <definedName name="____lbc14" hidden="1">#REF!</definedName>
    <definedName name="____lbc15" localSheetId="0" hidden="1">#REF!</definedName>
    <definedName name="____lbc15" hidden="1">#REF!</definedName>
    <definedName name="____lbc16" localSheetId="0" hidden="1">#REF!</definedName>
    <definedName name="____lbc16" hidden="1">#REF!</definedName>
    <definedName name="____lbc17" localSheetId="0" hidden="1">#REF!</definedName>
    <definedName name="____lbc17" hidden="1">#REF!</definedName>
    <definedName name="____lbc18" localSheetId="0" hidden="1">#REF!</definedName>
    <definedName name="____lbc18" hidden="1">#REF!</definedName>
    <definedName name="____lbc19" localSheetId="0" hidden="1">#REF!</definedName>
    <definedName name="____lbc19" hidden="1">#REF!</definedName>
    <definedName name="____lbc2" localSheetId="0" hidden="1">#REF!</definedName>
    <definedName name="____lbc2" hidden="1">#REF!</definedName>
    <definedName name="____lbc20" localSheetId="0" hidden="1">#REF!</definedName>
    <definedName name="____lbc20" hidden="1">#REF!</definedName>
    <definedName name="____lbc21" localSheetId="0" hidden="1">#REF!</definedName>
    <definedName name="____lbc21" hidden="1">#REF!</definedName>
    <definedName name="____lbc22" localSheetId="0" hidden="1">#REF!</definedName>
    <definedName name="____lbc22" hidden="1">#REF!</definedName>
    <definedName name="____lbc23" localSheetId="0" hidden="1">#REF!</definedName>
    <definedName name="____lbc23" hidden="1">#REF!</definedName>
    <definedName name="____lbc24" localSheetId="0" hidden="1">#REF!</definedName>
    <definedName name="____lbc24" hidden="1">#REF!</definedName>
    <definedName name="____lbc25" localSheetId="0" hidden="1">#REF!</definedName>
    <definedName name="____lbc25" hidden="1">#REF!</definedName>
    <definedName name="____lbc26" localSheetId="0" hidden="1">#REF!</definedName>
    <definedName name="____lbc26" hidden="1">#REF!</definedName>
    <definedName name="____lbc27" localSheetId="0" hidden="1">#REF!</definedName>
    <definedName name="____lbc27" hidden="1">#REF!</definedName>
    <definedName name="____lbc28" localSheetId="0" hidden="1">#REF!</definedName>
    <definedName name="____lbc28" hidden="1">#REF!</definedName>
    <definedName name="____lbc29" localSheetId="0" hidden="1">#REF!</definedName>
    <definedName name="____lbc29" hidden="1">#REF!</definedName>
    <definedName name="____lbc3" localSheetId="0" hidden="1">#REF!</definedName>
    <definedName name="____lbc3" hidden="1">#REF!</definedName>
    <definedName name="____lbc31" localSheetId="0" hidden="1">#REF!</definedName>
    <definedName name="____lbc31" hidden="1">#REF!</definedName>
    <definedName name="____lbc32" localSheetId="0" hidden="1">#REF!</definedName>
    <definedName name="____lbc32" hidden="1">#REF!</definedName>
    <definedName name="____lbc4" localSheetId="0" hidden="1">#REF!</definedName>
    <definedName name="____lbc4" hidden="1">#REF!</definedName>
    <definedName name="____lbc5" localSheetId="0" hidden="1">#REF!</definedName>
    <definedName name="____lbc5" hidden="1">#REF!</definedName>
    <definedName name="____lbc6" localSheetId="0" hidden="1">#REF!</definedName>
    <definedName name="____lbc6" hidden="1">#REF!</definedName>
    <definedName name="____lbc7" localSheetId="0" hidden="1">#REF!</definedName>
    <definedName name="____lbc7" hidden="1">#REF!</definedName>
    <definedName name="____lbc8" localSheetId="0" hidden="1">#REF!</definedName>
    <definedName name="____lbc8" hidden="1">#REF!</definedName>
    <definedName name="____lbc9" localSheetId="0" hidden="1">#REF!</definedName>
    <definedName name="____lbc9" hidden="1">#REF!</definedName>
    <definedName name="____ld26" localSheetId="0" hidden="1">#REF!</definedName>
    <definedName name="____ld26" hidden="1">#REF!</definedName>
    <definedName name="____ld31" localSheetId="0" hidden="1">#REF!</definedName>
    <definedName name="____ld31" hidden="1">#REF!</definedName>
    <definedName name="____le31" localSheetId="0" hidden="1">#REF!</definedName>
    <definedName name="____le31" hidden="1">#REF!</definedName>
    <definedName name="____lf31" localSheetId="0" hidden="1">#REF!</definedName>
    <definedName name="____lf31" hidden="1">#REF!</definedName>
    <definedName name="____Orc2000">#REF!</definedName>
    <definedName name="____x10" localSheetId="0" hidden="1">#REF!</definedName>
    <definedName name="____x10" hidden="1">#REF!</definedName>
    <definedName name="____x11" localSheetId="0" hidden="1">#REF!</definedName>
    <definedName name="____x11" hidden="1">#REF!</definedName>
    <definedName name="____x12" localSheetId="0" hidden="1">#REF!</definedName>
    <definedName name="____x12" hidden="1">#REF!</definedName>
    <definedName name="____x13" localSheetId="0" hidden="1">#REF!</definedName>
    <definedName name="____x13" hidden="1">#REF!</definedName>
    <definedName name="____x14" localSheetId="0" hidden="1">#REF!</definedName>
    <definedName name="____x14" hidden="1">#REF!</definedName>
    <definedName name="____x15" localSheetId="0" hidden="1">#REF!</definedName>
    <definedName name="____x15" hidden="1">#REF!</definedName>
    <definedName name="____x16" localSheetId="0" hidden="1">#REF!</definedName>
    <definedName name="____x16" hidden="1">#REF!</definedName>
    <definedName name="____x17" localSheetId="0" hidden="1">#REF!</definedName>
    <definedName name="____x17" hidden="1">#REF!</definedName>
    <definedName name="____x18" localSheetId="0" hidden="1">#REF!</definedName>
    <definedName name="____x18" hidden="1">#REF!</definedName>
    <definedName name="____x19" localSheetId="0" hidden="1">#REF!</definedName>
    <definedName name="____x19" hidden="1">#REF!</definedName>
    <definedName name="____x20" localSheetId="0" hidden="1">#REF!</definedName>
    <definedName name="____x20" hidden="1">#REF!</definedName>
    <definedName name="____x21" localSheetId="0" hidden="1">#REF!</definedName>
    <definedName name="____x21" hidden="1">#REF!</definedName>
    <definedName name="____x22" localSheetId="0" hidden="1">#REF!</definedName>
    <definedName name="____x22" hidden="1">#REF!</definedName>
    <definedName name="____x23" localSheetId="0" hidden="1">#REF!</definedName>
    <definedName name="____x23" hidden="1">#REF!</definedName>
    <definedName name="____x24" localSheetId="0" hidden="1">#REF!</definedName>
    <definedName name="____x24" hidden="1">#REF!</definedName>
    <definedName name="____x25" localSheetId="0" hidden="1">#REF!</definedName>
    <definedName name="____x25" hidden="1">#REF!</definedName>
    <definedName name="____x28" localSheetId="0" hidden="1">#REF!</definedName>
    <definedName name="____x28" hidden="1">#REF!</definedName>
    <definedName name="____x29" localSheetId="0" hidden="1">#REF!</definedName>
    <definedName name="____x29" hidden="1">#REF!</definedName>
    <definedName name="____x32" localSheetId="0" hidden="1">#REF!</definedName>
    <definedName name="____x32" hidden="1">#REF!</definedName>
    <definedName name="____x4" localSheetId="0" hidden="1">#REF!</definedName>
    <definedName name="____x4" hidden="1">#REF!</definedName>
    <definedName name="____x5" localSheetId="0" hidden="1">#REF!</definedName>
    <definedName name="____x5" hidden="1">#REF!</definedName>
    <definedName name="____x6" localSheetId="0" hidden="1">#REF!</definedName>
    <definedName name="____x6" hidden="1">#REF!</definedName>
    <definedName name="____x7" localSheetId="0" hidden="1">#REF!</definedName>
    <definedName name="____x7" hidden="1">#REF!</definedName>
    <definedName name="____x8" localSheetId="0" hidden="1">#REF!</definedName>
    <definedName name="____x8" hidden="1">#REF!</definedName>
    <definedName name="____x9" localSheetId="0" hidden="1">#REF!</definedName>
    <definedName name="____x9" hidden="1">#REF!</definedName>
    <definedName name="___INV12">#REF!</definedName>
    <definedName name="___INV13">#REF!</definedName>
    <definedName name="___inv2">#REF!</definedName>
    <definedName name="___la29" localSheetId="27" hidden="1">#REF!</definedName>
    <definedName name="___la29" localSheetId="0" hidden="1">#REF!</definedName>
    <definedName name="___la29" hidden="1">#REF!</definedName>
    <definedName name="___la3" localSheetId="27" hidden="1">#REF!</definedName>
    <definedName name="___la3" localSheetId="0" hidden="1">#REF!</definedName>
    <definedName name="___la3" hidden="1">#REF!</definedName>
    <definedName name="___la31" localSheetId="27" hidden="1">#REF!</definedName>
    <definedName name="___la31" localSheetId="0" hidden="1">#REF!</definedName>
    <definedName name="___la31" hidden="1">#REF!</definedName>
    <definedName name="___la32" localSheetId="0" hidden="1">#REF!</definedName>
    <definedName name="___la32" hidden="1">#REF!</definedName>
    <definedName name="___la4" localSheetId="0" hidden="1">#REF!</definedName>
    <definedName name="___la4" hidden="1">#REF!</definedName>
    <definedName name="___la5" localSheetId="0" hidden="1">#REF!</definedName>
    <definedName name="___la5" hidden="1">#REF!</definedName>
    <definedName name="___la6" localSheetId="0" hidden="1">#REF!</definedName>
    <definedName name="___la6" hidden="1">#REF!</definedName>
    <definedName name="___la7" localSheetId="0" hidden="1">#REF!</definedName>
    <definedName name="___la7" hidden="1">#REF!</definedName>
    <definedName name="___la8" localSheetId="0" hidden="1">#REF!</definedName>
    <definedName name="___la8" hidden="1">#REF!</definedName>
    <definedName name="___la9" localSheetId="0" hidden="1">#REF!</definedName>
    <definedName name="___la9" hidden="1">#REF!</definedName>
    <definedName name="___lb1" localSheetId="0" hidden="1">#REF!</definedName>
    <definedName name="___lb1" hidden="1">#REF!</definedName>
    <definedName name="___lb10" localSheetId="0" hidden="1">#REF!</definedName>
    <definedName name="___lb10" hidden="1">#REF!</definedName>
    <definedName name="___lb11" localSheetId="0" hidden="1">#REF!</definedName>
    <definedName name="___lb11" hidden="1">#REF!</definedName>
    <definedName name="___lb12" localSheetId="0" hidden="1">#REF!</definedName>
    <definedName name="___lb12" hidden="1">#REF!</definedName>
    <definedName name="___lb13" localSheetId="0" hidden="1">#REF!</definedName>
    <definedName name="___lb13" hidden="1">#REF!</definedName>
    <definedName name="___lb14" localSheetId="0" hidden="1">#REF!</definedName>
    <definedName name="___lb14" hidden="1">#REF!</definedName>
    <definedName name="___lb15" localSheetId="0" hidden="1">#REF!</definedName>
    <definedName name="___lb15" hidden="1">#REF!</definedName>
    <definedName name="___lb16" localSheetId="0" hidden="1">#REF!</definedName>
    <definedName name="___lb16" hidden="1">#REF!</definedName>
    <definedName name="___lb17" localSheetId="0" hidden="1">#REF!</definedName>
    <definedName name="___lb17" hidden="1">#REF!</definedName>
    <definedName name="___lb18" localSheetId="0" hidden="1">#REF!</definedName>
    <definedName name="___lb18" hidden="1">#REF!</definedName>
    <definedName name="___lb19" localSheetId="0" hidden="1">#REF!</definedName>
    <definedName name="___lb19" hidden="1">#REF!</definedName>
    <definedName name="___lb2" localSheetId="0" hidden="1">#REF!</definedName>
    <definedName name="___lb2" hidden="1">#REF!</definedName>
    <definedName name="___lb20" localSheetId="0" hidden="1">#REF!</definedName>
    <definedName name="___lb20" hidden="1">#REF!</definedName>
    <definedName name="___lb21" localSheetId="0" hidden="1">#REF!</definedName>
    <definedName name="___lb21" hidden="1">#REF!</definedName>
    <definedName name="___lb22" localSheetId="0" hidden="1">#REF!</definedName>
    <definedName name="___lb22" hidden="1">#REF!</definedName>
    <definedName name="___lb23" localSheetId="0" hidden="1">#REF!</definedName>
    <definedName name="___lb23" hidden="1">#REF!</definedName>
    <definedName name="___lb24" localSheetId="0" hidden="1">#REF!</definedName>
    <definedName name="___lb24" hidden="1">#REF!</definedName>
    <definedName name="___lb25" localSheetId="0" hidden="1">#REF!</definedName>
    <definedName name="___lb25" hidden="1">#REF!</definedName>
    <definedName name="___lb27" localSheetId="0" hidden="1">#REF!</definedName>
    <definedName name="___lb27" hidden="1">#REF!</definedName>
    <definedName name="___lb28" localSheetId="0" hidden="1">#REF!</definedName>
    <definedName name="___lb28" hidden="1">#REF!</definedName>
    <definedName name="___lb29" localSheetId="0" hidden="1">#REF!</definedName>
    <definedName name="___lb29" hidden="1">#REF!</definedName>
    <definedName name="___lb3" localSheetId="0" hidden="1">#REF!</definedName>
    <definedName name="___lb3" hidden="1">#REF!</definedName>
    <definedName name="___lb30" localSheetId="0" hidden="1">#REF!</definedName>
    <definedName name="___lb30" hidden="1">#REF!</definedName>
    <definedName name="___lb31" localSheetId="0" hidden="1">#REF!</definedName>
    <definedName name="___lb31" hidden="1">#REF!</definedName>
    <definedName name="___lb32" localSheetId="0" hidden="1">#REF!</definedName>
    <definedName name="___lb32" hidden="1">#REF!</definedName>
    <definedName name="___lb4" localSheetId="0" hidden="1">#REF!</definedName>
    <definedName name="___lb4" hidden="1">#REF!</definedName>
    <definedName name="___lb5" localSheetId="0" hidden="1">#REF!</definedName>
    <definedName name="___lb5" hidden="1">#REF!</definedName>
    <definedName name="___lb6" localSheetId="0" hidden="1">#REF!</definedName>
    <definedName name="___lb6" hidden="1">#REF!</definedName>
    <definedName name="___lb7" localSheetId="0" hidden="1">#REF!</definedName>
    <definedName name="___lb7" hidden="1">#REF!</definedName>
    <definedName name="___lb8" localSheetId="0" hidden="1">#REF!</definedName>
    <definedName name="___lb8" hidden="1">#REF!</definedName>
    <definedName name="___lb9" localSheetId="0" hidden="1">#REF!</definedName>
    <definedName name="___lb9" hidden="1">#REF!</definedName>
    <definedName name="___lbc1" localSheetId="0" hidden="1">#REF!</definedName>
    <definedName name="___lbc1" hidden="1">#REF!</definedName>
    <definedName name="___lbc10" localSheetId="0" hidden="1">#REF!</definedName>
    <definedName name="___lbc10" hidden="1">#REF!</definedName>
    <definedName name="___lbc11" localSheetId="0" hidden="1">#REF!</definedName>
    <definedName name="___lbc11" hidden="1">#REF!</definedName>
    <definedName name="___lbc12" localSheetId="0" hidden="1">#REF!</definedName>
    <definedName name="___lbc12" hidden="1">#REF!</definedName>
    <definedName name="___lbc13" localSheetId="0" hidden="1">#REF!</definedName>
    <definedName name="___lbc13" hidden="1">#REF!</definedName>
    <definedName name="___lbc14" localSheetId="0" hidden="1">#REF!</definedName>
    <definedName name="___lbc14" hidden="1">#REF!</definedName>
    <definedName name="___lbc15" localSheetId="0" hidden="1">#REF!</definedName>
    <definedName name="___lbc15" hidden="1">#REF!</definedName>
    <definedName name="___lbc16" localSheetId="0" hidden="1">#REF!</definedName>
    <definedName name="___lbc16" hidden="1">#REF!</definedName>
    <definedName name="___lbc17" localSheetId="0" hidden="1">#REF!</definedName>
    <definedName name="___lbc17" hidden="1">#REF!</definedName>
    <definedName name="___lbc18" localSheetId="0" hidden="1">#REF!</definedName>
    <definedName name="___lbc18" hidden="1">#REF!</definedName>
    <definedName name="___lbc19" localSheetId="0" hidden="1">#REF!</definedName>
    <definedName name="___lbc19" hidden="1">#REF!</definedName>
    <definedName name="___lbc2" localSheetId="0" hidden="1">#REF!</definedName>
    <definedName name="___lbc2" hidden="1">#REF!</definedName>
    <definedName name="___lbc20" localSheetId="0" hidden="1">#REF!</definedName>
    <definedName name="___lbc20" hidden="1">#REF!</definedName>
    <definedName name="___lbc21" localSheetId="0" hidden="1">#REF!</definedName>
    <definedName name="___lbc21" hidden="1">#REF!</definedName>
    <definedName name="___lbc22" localSheetId="0" hidden="1">#REF!</definedName>
    <definedName name="___lbc22" hidden="1">#REF!</definedName>
    <definedName name="___lbc23" localSheetId="0" hidden="1">#REF!</definedName>
    <definedName name="___lbc23" hidden="1">#REF!</definedName>
    <definedName name="___lbc24" localSheetId="0" hidden="1">#REF!</definedName>
    <definedName name="___lbc24" hidden="1">#REF!</definedName>
    <definedName name="___lbc25" localSheetId="0" hidden="1">#REF!</definedName>
    <definedName name="___lbc25" hidden="1">#REF!</definedName>
    <definedName name="___lbc26" localSheetId="0" hidden="1">#REF!</definedName>
    <definedName name="___lbc26" hidden="1">#REF!</definedName>
    <definedName name="___lbc27" localSheetId="0" hidden="1">#REF!</definedName>
    <definedName name="___lbc27" hidden="1">#REF!</definedName>
    <definedName name="___lbc28" localSheetId="0" hidden="1">#REF!</definedName>
    <definedName name="___lbc28" hidden="1">#REF!</definedName>
    <definedName name="___lbc29" localSheetId="0" hidden="1">#REF!</definedName>
    <definedName name="___lbc29" hidden="1">#REF!</definedName>
    <definedName name="___lbc3" localSheetId="0" hidden="1">#REF!</definedName>
    <definedName name="___lbc3" hidden="1">#REF!</definedName>
    <definedName name="___lbc31" localSheetId="0" hidden="1">#REF!</definedName>
    <definedName name="___lbc31" hidden="1">#REF!</definedName>
    <definedName name="___lbc32" localSheetId="0" hidden="1">#REF!</definedName>
    <definedName name="___lbc32" hidden="1">#REF!</definedName>
    <definedName name="___lbc4" localSheetId="0" hidden="1">#REF!</definedName>
    <definedName name="___lbc4" hidden="1">#REF!</definedName>
    <definedName name="___lbc5" localSheetId="0" hidden="1">#REF!</definedName>
    <definedName name="___lbc5" hidden="1">#REF!</definedName>
    <definedName name="___lbc6" localSheetId="0" hidden="1">#REF!</definedName>
    <definedName name="___lbc6" hidden="1">#REF!</definedName>
    <definedName name="___lbc7" localSheetId="0" hidden="1">#REF!</definedName>
    <definedName name="___lbc7" hidden="1">#REF!</definedName>
    <definedName name="___lbc8" localSheetId="0" hidden="1">#REF!</definedName>
    <definedName name="___lbc8" hidden="1">#REF!</definedName>
    <definedName name="___lbc9" localSheetId="0" hidden="1">#REF!</definedName>
    <definedName name="___lbc9" hidden="1">#REF!</definedName>
    <definedName name="___ld26" localSheetId="0" hidden="1">#REF!</definedName>
    <definedName name="___ld26" hidden="1">#REF!</definedName>
    <definedName name="___ld31" localSheetId="0" hidden="1">#REF!</definedName>
    <definedName name="___ld31" hidden="1">#REF!</definedName>
    <definedName name="___le31" localSheetId="0" hidden="1">#REF!</definedName>
    <definedName name="___le31" hidden="1">#REF!</definedName>
    <definedName name="___lf31" localSheetId="0" hidden="1">#REF!</definedName>
    <definedName name="___lf31" hidden="1">#REF!</definedName>
    <definedName name="___Orc2000">#REF!</definedName>
    <definedName name="___res9600">#REF!</definedName>
    <definedName name="___reS9699">#REF!</definedName>
    <definedName name="___Res99">#REF!</definedName>
    <definedName name="___x10" localSheetId="0" hidden="1">#REF!</definedName>
    <definedName name="___x10" hidden="1">#REF!</definedName>
    <definedName name="___x11" localSheetId="0" hidden="1">#REF!</definedName>
    <definedName name="___x11" hidden="1">#REF!</definedName>
    <definedName name="___x12" localSheetId="0" hidden="1">#REF!</definedName>
    <definedName name="___x12" hidden="1">#REF!</definedName>
    <definedName name="___x13" localSheetId="0" hidden="1">#REF!</definedName>
    <definedName name="___x13" hidden="1">#REF!</definedName>
    <definedName name="___x14" localSheetId="0" hidden="1">#REF!</definedName>
    <definedName name="___x14" hidden="1">#REF!</definedName>
    <definedName name="___x15" localSheetId="0" hidden="1">#REF!</definedName>
    <definedName name="___x15" hidden="1">#REF!</definedName>
    <definedName name="___x16" localSheetId="0" hidden="1">#REF!</definedName>
    <definedName name="___x16" hidden="1">#REF!</definedName>
    <definedName name="___x17" localSheetId="0" hidden="1">#REF!</definedName>
    <definedName name="___x17" hidden="1">#REF!</definedName>
    <definedName name="___x18" localSheetId="0" hidden="1">#REF!</definedName>
    <definedName name="___x18" hidden="1">#REF!</definedName>
    <definedName name="___x19" localSheetId="0" hidden="1">#REF!</definedName>
    <definedName name="___x19" hidden="1">#REF!</definedName>
    <definedName name="___x20" localSheetId="0" hidden="1">#REF!</definedName>
    <definedName name="___x20" hidden="1">#REF!</definedName>
    <definedName name="___x21" localSheetId="0" hidden="1">#REF!</definedName>
    <definedName name="___x21" hidden="1">#REF!</definedName>
    <definedName name="___x22" localSheetId="0" hidden="1">#REF!</definedName>
    <definedName name="___x22" hidden="1">#REF!</definedName>
    <definedName name="___x23" localSheetId="0" hidden="1">#REF!</definedName>
    <definedName name="___x23" hidden="1">#REF!</definedName>
    <definedName name="___x24" localSheetId="0" hidden="1">#REF!</definedName>
    <definedName name="___x24" hidden="1">#REF!</definedName>
    <definedName name="___x25" localSheetId="0" hidden="1">#REF!</definedName>
    <definedName name="___x25" hidden="1">#REF!</definedName>
    <definedName name="___x28" localSheetId="0" hidden="1">#REF!</definedName>
    <definedName name="___x28" hidden="1">#REF!</definedName>
    <definedName name="___x29" localSheetId="0" hidden="1">#REF!</definedName>
    <definedName name="___x29" hidden="1">#REF!</definedName>
    <definedName name="___x32" localSheetId="0" hidden="1">#REF!</definedName>
    <definedName name="___x32" hidden="1">#REF!</definedName>
    <definedName name="___x4" localSheetId="0" hidden="1">#REF!</definedName>
    <definedName name="___x4" hidden="1">#REF!</definedName>
    <definedName name="___x5" localSheetId="0" hidden="1">#REF!</definedName>
    <definedName name="___x5" hidden="1">#REF!</definedName>
    <definedName name="___x6" localSheetId="0" hidden="1">#REF!</definedName>
    <definedName name="___x6" hidden="1">#REF!</definedName>
    <definedName name="___x7" localSheetId="0" hidden="1">#REF!</definedName>
    <definedName name="___x7" hidden="1">#REF!</definedName>
    <definedName name="___x8" localSheetId="0" hidden="1">#REF!</definedName>
    <definedName name="___x8" hidden="1">#REF!</definedName>
    <definedName name="___x9" localSheetId="0" hidden="1">#REF!</definedName>
    <definedName name="___x9" hidden="1">#REF!</definedName>
    <definedName name="__123Graph_A" localSheetId="0" hidden="1">#REF!</definedName>
    <definedName name="__123Graph_A" hidden="1">#REF!</definedName>
    <definedName name="__123Graph_ABENZENE" hidden="1">#REF!</definedName>
    <definedName name="__123Graph_ABUTADIENE" hidden="1">#REF!</definedName>
    <definedName name="__123Graph_ACAPRO" localSheetId="27" hidden="1">#REF!</definedName>
    <definedName name="__123Graph_ACAPRO" localSheetId="0" hidden="1">#REF!</definedName>
    <definedName name="__123Graph_ACAPRO" hidden="1">#REF!</definedName>
    <definedName name="__123Graph_AETHYLENE" hidden="1">#REF!</definedName>
    <definedName name="__123Graph_AEVAC" localSheetId="27" hidden="1">#REF!</definedName>
    <definedName name="__123Graph_AEVAC" localSheetId="0" hidden="1">#REF!</definedName>
    <definedName name="__123Graph_AEVAC" hidden="1">#REF!</definedName>
    <definedName name="__123Graph_AHDPE" hidden="1">#REF!</definedName>
    <definedName name="__123Graph_ALDPE" hidden="1">#REF!</definedName>
    <definedName name="__123Graph_ALLDPE" hidden="1">#REF!</definedName>
    <definedName name="__123Graph_AMTBE" localSheetId="27" hidden="1">#REF!</definedName>
    <definedName name="__123Graph_AMTBE" localSheetId="0" hidden="1">#REF!</definedName>
    <definedName name="__123Graph_AMTBE" hidden="1">#REF!</definedName>
    <definedName name="__123Graph_ANAPHTHA" hidden="1">#REF!</definedName>
    <definedName name="__123Graph_APET" localSheetId="27" hidden="1">#REF!</definedName>
    <definedName name="__123Graph_APET" localSheetId="0" hidden="1">#REF!</definedName>
    <definedName name="__123Graph_APET" hidden="1">#REF!</definedName>
    <definedName name="__123Graph_APP" hidden="1">#REF!</definedName>
    <definedName name="__123Graph_APROPYLENE" hidden="1">#REF!</definedName>
    <definedName name="__123Graph_APVC" localSheetId="27" hidden="1">#REF!</definedName>
    <definedName name="__123Graph_APVC" localSheetId="0" hidden="1">#REF!</definedName>
    <definedName name="__123Graph_APVC" hidden="1">#REF!</definedName>
    <definedName name="__123Graph_APX" hidden="1">#REF!</definedName>
    <definedName name="__123Graph_ASIDECO" localSheetId="17" hidden="1">#REF!</definedName>
    <definedName name="__123Graph_ASIDECO" localSheetId="16" hidden="1">#REF!</definedName>
    <definedName name="__123Graph_ASIDECO" localSheetId="25" hidden="1">#REF!</definedName>
    <definedName name="__123Graph_ASIDECO" localSheetId="4" hidden="1">#REF!</definedName>
    <definedName name="__123Graph_ASIDECO" localSheetId="7" hidden="1">#REF!</definedName>
    <definedName name="__123Graph_ASIDECO" localSheetId="8" hidden="1">#REF!</definedName>
    <definedName name="__123Graph_ASIDECO" localSheetId="11" hidden="1">#REF!</definedName>
    <definedName name="__123Graph_ASIDECO" localSheetId="13" hidden="1">#REF!</definedName>
    <definedName name="__123Graph_ASIDECO" localSheetId="14" hidden="1">#REF!</definedName>
    <definedName name="__123Graph_ASIDECO" localSheetId="15" hidden="1">#REF!</definedName>
    <definedName name="__123Graph_ASIDECO" localSheetId="0" hidden="1">#REF!</definedName>
    <definedName name="__123Graph_ASIDECO" localSheetId="26" hidden="1">#REF!</definedName>
    <definedName name="__123Graph_ASIDECO" hidden="1">#REF!</definedName>
    <definedName name="__123Graph_ATOL" hidden="1">#REF!</definedName>
    <definedName name="__123Graph_B" localSheetId="27" hidden="1">#REF!</definedName>
    <definedName name="__123Graph_B" localSheetId="0" hidden="1">#REF!</definedName>
    <definedName name="__123Graph_B" hidden="1">#REF!</definedName>
    <definedName name="__123Graph_BBENZENE" hidden="1">#REF!</definedName>
    <definedName name="__123Graph_BBUTADIENE" hidden="1">#REF!</definedName>
    <definedName name="__123Graph_BCAPRO" localSheetId="27" hidden="1">#REF!</definedName>
    <definedName name="__123Graph_BCAPRO" localSheetId="0" hidden="1">#REF!</definedName>
    <definedName name="__123Graph_BCAPRO" hidden="1">#REF!</definedName>
    <definedName name="__123Graph_BETHYLENE" hidden="1">#REF!</definedName>
    <definedName name="__123Graph_BHDPE" hidden="1">#REF!</definedName>
    <definedName name="__123Graph_BLDPE" hidden="1">#REF!</definedName>
    <definedName name="__123Graph_BLLDPE" hidden="1">#REF!</definedName>
    <definedName name="__123Graph_BMTBE" localSheetId="27" hidden="1">#REF!</definedName>
    <definedName name="__123Graph_BMTBE" localSheetId="0" hidden="1">#REF!</definedName>
    <definedName name="__123Graph_BMTBE" hidden="1">#REF!</definedName>
    <definedName name="__123Graph_BNAPHTHA" localSheetId="27" hidden="1">#REF!</definedName>
    <definedName name="__123Graph_BNAPHTHA" localSheetId="0" hidden="1">#REF!</definedName>
    <definedName name="__123Graph_BNAPHTHA" hidden="1">#REF!</definedName>
    <definedName name="__123Graph_BPET" localSheetId="27" hidden="1">#REF!</definedName>
    <definedName name="__123Graph_BPET" localSheetId="0" hidden="1">#REF!</definedName>
    <definedName name="__123Graph_BPET" hidden="1">#REF!</definedName>
    <definedName name="__123Graph_BPP" hidden="1">#REF!</definedName>
    <definedName name="__123Graph_BPROPYLENE" hidden="1">#REF!</definedName>
    <definedName name="__123Graph_BPVC" localSheetId="27" hidden="1">#REF!</definedName>
    <definedName name="__123Graph_BPVC" localSheetId="0" hidden="1">#REF!</definedName>
    <definedName name="__123Graph_BPVC" hidden="1">#REF!</definedName>
    <definedName name="__123Graph_BPX" localSheetId="27" hidden="1">#REF!</definedName>
    <definedName name="__123Graph_BPX" localSheetId="0" hidden="1">#REF!</definedName>
    <definedName name="__123Graph_BPX" hidden="1">#REF!</definedName>
    <definedName name="__123Graph_BSIDECO" localSheetId="17" hidden="1">#REF!</definedName>
    <definedName name="__123Graph_BSIDECO" localSheetId="16" hidden="1">#REF!</definedName>
    <definedName name="__123Graph_BSIDECO" localSheetId="25" hidden="1">#REF!</definedName>
    <definedName name="__123Graph_BSIDECO" localSheetId="4" hidden="1">#REF!</definedName>
    <definedName name="__123Graph_BSIDECO" localSheetId="7" hidden="1">#REF!</definedName>
    <definedName name="__123Graph_BSIDECO" localSheetId="8" hidden="1">#REF!</definedName>
    <definedName name="__123Graph_BSIDECO" localSheetId="11" hidden="1">#REF!</definedName>
    <definedName name="__123Graph_BSIDECO" localSheetId="13" hidden="1">#REF!</definedName>
    <definedName name="__123Graph_BSIDECO" localSheetId="14" hidden="1">#REF!</definedName>
    <definedName name="__123Graph_BSIDECO" localSheetId="15" hidden="1">#REF!</definedName>
    <definedName name="__123Graph_BSIDECO" localSheetId="0" hidden="1">#REF!</definedName>
    <definedName name="__123Graph_BSIDECO" localSheetId="26" hidden="1">#REF!</definedName>
    <definedName name="__123Graph_BSIDECO" hidden="1">#REF!</definedName>
    <definedName name="__123Graph_BTOL" hidden="1">#REF!</definedName>
    <definedName name="__123Graph_C" localSheetId="27" hidden="1">#REF!</definedName>
    <definedName name="__123Graph_C" localSheetId="0" hidden="1">#REF!</definedName>
    <definedName name="__123Graph_C" hidden="1">#REF!</definedName>
    <definedName name="__123Graph_CBENZENE" hidden="1">#REF!</definedName>
    <definedName name="__123Graph_CBUTADIENE" hidden="1">#REF!</definedName>
    <definedName name="__123Graph_CCAPRO" localSheetId="27" hidden="1">#REF!</definedName>
    <definedName name="__123Graph_CCAPRO" localSheetId="0" hidden="1">#REF!</definedName>
    <definedName name="__123Graph_CCAPRO" hidden="1">#REF!</definedName>
    <definedName name="__123Graph_CETHYLENE" hidden="1">#REF!</definedName>
    <definedName name="__123Graph_CEVAC" localSheetId="27" hidden="1">#REF!</definedName>
    <definedName name="__123Graph_CEVAC" localSheetId="0" hidden="1">#REF!</definedName>
    <definedName name="__123Graph_CEVAC" hidden="1">#REF!</definedName>
    <definedName name="__123Graph_CHDPE" hidden="1">#REF!</definedName>
    <definedName name="__123Graph_CLDPE" hidden="1">#REF!</definedName>
    <definedName name="__123Graph_CLLDPE" hidden="1">#REF!</definedName>
    <definedName name="__123Graph_CMTBE" localSheetId="27" hidden="1">#REF!</definedName>
    <definedName name="__123Graph_CMTBE" localSheetId="0" hidden="1">#REF!</definedName>
    <definedName name="__123Graph_CMTBE" hidden="1">#REF!</definedName>
    <definedName name="__123Graph_CNAPHTHA" localSheetId="27" hidden="1">#REF!</definedName>
    <definedName name="__123Graph_CNAPHTHA" localSheetId="0" hidden="1">#REF!</definedName>
    <definedName name="__123Graph_CNAPHTHA" hidden="1">#REF!</definedName>
    <definedName name="__123Graph_CPET" localSheetId="27" hidden="1">#REF!</definedName>
    <definedName name="__123Graph_CPET" localSheetId="0" hidden="1">#REF!</definedName>
    <definedName name="__123Graph_CPET" hidden="1">#REF!</definedName>
    <definedName name="__123Graph_CPP" hidden="1">#REF!</definedName>
    <definedName name="__123Graph_CPROPYLENE" hidden="1">#REF!</definedName>
    <definedName name="__123Graph_CPVC" localSheetId="27" hidden="1">#REF!</definedName>
    <definedName name="__123Graph_CPVC" localSheetId="0" hidden="1">#REF!</definedName>
    <definedName name="__123Graph_CPVC" hidden="1">#REF!</definedName>
    <definedName name="__123Graph_CPX" hidden="1">#REF!</definedName>
    <definedName name="__123Graph_CSIDECO" localSheetId="17" hidden="1">#REF!</definedName>
    <definedName name="__123Graph_CSIDECO" localSheetId="16" hidden="1">#REF!</definedName>
    <definedName name="__123Graph_CSIDECO" localSheetId="25" hidden="1">#REF!</definedName>
    <definedName name="__123Graph_CSIDECO" localSheetId="4" hidden="1">#REF!</definedName>
    <definedName name="__123Graph_CSIDECO" localSheetId="7" hidden="1">#REF!</definedName>
    <definedName name="__123Graph_CSIDECO" localSheetId="8" hidden="1">#REF!</definedName>
    <definedName name="__123Graph_CSIDECO" localSheetId="11" hidden="1">#REF!</definedName>
    <definedName name="__123Graph_CSIDECO" localSheetId="13" hidden="1">#REF!</definedName>
    <definedName name="__123Graph_CSIDECO" localSheetId="14" hidden="1">#REF!</definedName>
    <definedName name="__123Graph_CSIDECO" localSheetId="15" hidden="1">#REF!</definedName>
    <definedName name="__123Graph_CSIDECO" localSheetId="0" hidden="1">#REF!</definedName>
    <definedName name="__123Graph_CSIDECO" localSheetId="26" hidden="1">#REF!</definedName>
    <definedName name="__123Graph_CSIDECO" hidden="1">#REF!</definedName>
    <definedName name="__123Graph_CTOL" hidden="1">#REF!</definedName>
    <definedName name="__123Graph_D" localSheetId="27" hidden="1">#REF!</definedName>
    <definedName name="__123Graph_D" localSheetId="0" hidden="1">#REF!</definedName>
    <definedName name="__123Graph_D" hidden="1">#REF!</definedName>
    <definedName name="__123Graph_DBENZENE" localSheetId="27" hidden="1">#REF!</definedName>
    <definedName name="__123Graph_DBENZENE" localSheetId="0" hidden="1">#REF!</definedName>
    <definedName name="__123Graph_DBENZENE" hidden="1">#REF!</definedName>
    <definedName name="__123Graph_DBUTADIENE" hidden="1">#REF!</definedName>
    <definedName name="__123Graph_DCAPRO" localSheetId="27" hidden="1">#REF!</definedName>
    <definedName name="__123Graph_DCAPRO" localSheetId="0" hidden="1">#REF!</definedName>
    <definedName name="__123Graph_DCAPRO" hidden="1">#REF!</definedName>
    <definedName name="__123Graph_DETHYLENE" hidden="1">#REF!</definedName>
    <definedName name="__123Graph_DEVAC" localSheetId="27" hidden="1">#REF!</definedName>
    <definedName name="__123Graph_DEVAC" localSheetId="0" hidden="1">#REF!</definedName>
    <definedName name="__123Graph_DEVAC" hidden="1">#REF!</definedName>
    <definedName name="__123Graph_DHDPE" hidden="1">#REF!</definedName>
    <definedName name="__123Graph_DLDPE" hidden="1">#REF!</definedName>
    <definedName name="__123Graph_DLLDPE" hidden="1">#REF!</definedName>
    <definedName name="__123Graph_DMTBE" localSheetId="27" hidden="1">#REF!</definedName>
    <definedName name="__123Graph_DMTBE" localSheetId="0" hidden="1">#REF!</definedName>
    <definedName name="__123Graph_DMTBE" hidden="1">#REF!</definedName>
    <definedName name="__123Graph_DNAPHTHA" localSheetId="27" hidden="1">#REF!</definedName>
    <definedName name="__123Graph_DNAPHTHA" localSheetId="0" hidden="1">#REF!</definedName>
    <definedName name="__123Graph_DNAPHTHA" hidden="1">#REF!</definedName>
    <definedName name="__123Graph_DPET" localSheetId="27" hidden="1">#REF!</definedName>
    <definedName name="__123Graph_DPET" localSheetId="0" hidden="1">#REF!</definedName>
    <definedName name="__123Graph_DPET" hidden="1">#REF!</definedName>
    <definedName name="__123Graph_DPP" hidden="1">#REF!</definedName>
    <definedName name="__123Graph_DPROPYLENE" hidden="1">#REF!</definedName>
    <definedName name="__123Graph_DPVC" localSheetId="27" hidden="1">#REF!</definedName>
    <definedName name="__123Graph_DPVC" localSheetId="0" hidden="1">#REF!</definedName>
    <definedName name="__123Graph_DPVC" hidden="1">#REF!</definedName>
    <definedName name="__123Graph_DPX" hidden="1">#REF!</definedName>
    <definedName name="__123Graph_DTOL" localSheetId="27" hidden="1">#REF!</definedName>
    <definedName name="__123Graph_DTOL" localSheetId="0" hidden="1">#REF!</definedName>
    <definedName name="__123Graph_DTOL" hidden="1">#REF!</definedName>
    <definedName name="__123Graph_E" localSheetId="27" hidden="1">#REF!</definedName>
    <definedName name="__123Graph_E" localSheetId="0" hidden="1">#REF!</definedName>
    <definedName name="__123Graph_E" hidden="1">#REF!</definedName>
    <definedName name="__123Graph_EBENZENE" localSheetId="27" hidden="1">#REF!</definedName>
    <definedName name="__123Graph_EBENZENE" localSheetId="0" hidden="1">#REF!</definedName>
    <definedName name="__123Graph_EBENZENE" hidden="1">#REF!</definedName>
    <definedName name="__123Graph_EBUTADIENE" hidden="1">#REF!</definedName>
    <definedName name="__123Graph_ECAPRO" localSheetId="27" hidden="1">#REF!</definedName>
    <definedName name="__123Graph_ECAPRO" localSheetId="0" hidden="1">#REF!</definedName>
    <definedName name="__123Graph_ECAPRO" hidden="1">#REF!</definedName>
    <definedName name="__123Graph_EETHYLENE" hidden="1">#REF!</definedName>
    <definedName name="__123Graph_EHDPE" hidden="1">#REF!</definedName>
    <definedName name="__123Graph_ELDPE" hidden="1">#REF!</definedName>
    <definedName name="__123Graph_ELLDPE" hidden="1">#REF!</definedName>
    <definedName name="__123Graph_EMTBE" localSheetId="27" hidden="1">#REF!</definedName>
    <definedName name="__123Graph_EMTBE" localSheetId="0" hidden="1">#REF!</definedName>
    <definedName name="__123Graph_EMTBE" hidden="1">#REF!</definedName>
    <definedName name="__123Graph_ENAPHTHA" localSheetId="27" hidden="1">#REF!</definedName>
    <definedName name="__123Graph_ENAPHTHA" localSheetId="0" hidden="1">#REF!</definedName>
    <definedName name="__123Graph_ENAPHTHA" hidden="1">#REF!</definedName>
    <definedName name="__123Graph_EPET" localSheetId="27" hidden="1">#REF!</definedName>
    <definedName name="__123Graph_EPET" localSheetId="0" hidden="1">#REF!</definedName>
    <definedName name="__123Graph_EPET" hidden="1">#REF!</definedName>
    <definedName name="__123Graph_EPP" hidden="1">#REF!</definedName>
    <definedName name="__123Graph_EPROPYLENE" hidden="1">#REF!</definedName>
    <definedName name="__123Graph_EPVC" localSheetId="27" hidden="1">#REF!</definedName>
    <definedName name="__123Graph_EPVC" localSheetId="0" hidden="1">#REF!</definedName>
    <definedName name="__123Graph_EPVC" hidden="1">#REF!</definedName>
    <definedName name="__123Graph_EPX" localSheetId="27" hidden="1">#REF!</definedName>
    <definedName name="__123Graph_EPX" localSheetId="0" hidden="1">#REF!</definedName>
    <definedName name="__123Graph_EPX" hidden="1">#REF!</definedName>
    <definedName name="__123Graph_ETOL" localSheetId="27" hidden="1">#REF!</definedName>
    <definedName name="__123Graph_ETOL" localSheetId="0" hidden="1">#REF!</definedName>
    <definedName name="__123Graph_ETOL" hidden="1">#REF!</definedName>
    <definedName name="__123Graph_F" localSheetId="27" hidden="1">#REF!</definedName>
    <definedName name="__123Graph_F" localSheetId="0" hidden="1">#REF!</definedName>
    <definedName name="__123Graph_F" hidden="1">#REF!</definedName>
    <definedName name="__123Graph_FBENZENE" hidden="1">#REF!</definedName>
    <definedName name="__123Graph_FBUTADIENE" hidden="1">#REF!</definedName>
    <definedName name="__123Graph_FCAPRO" localSheetId="27" hidden="1">#REF!</definedName>
    <definedName name="__123Graph_FCAPRO" localSheetId="0" hidden="1">#REF!</definedName>
    <definedName name="__123Graph_FCAPRO" hidden="1">#REF!</definedName>
    <definedName name="__123Graph_FETHYLENE" hidden="1">#REF!</definedName>
    <definedName name="__123Graph_FEVAC" localSheetId="27" hidden="1">#REF!</definedName>
    <definedName name="__123Graph_FEVAC" localSheetId="0" hidden="1">#REF!</definedName>
    <definedName name="__123Graph_FEVAC" hidden="1">#REF!</definedName>
    <definedName name="__123Graph_FHDPE" hidden="1">#REF!</definedName>
    <definedName name="__123Graph_FLDPE" hidden="1">#REF!</definedName>
    <definedName name="__123Graph_FLLDPE" hidden="1">#REF!</definedName>
    <definedName name="__123Graph_FMTBE" localSheetId="27" hidden="1">#REF!</definedName>
    <definedName name="__123Graph_FMTBE" localSheetId="0" hidden="1">#REF!</definedName>
    <definedName name="__123Graph_FMTBE" hidden="1">#REF!</definedName>
    <definedName name="__123Graph_FNAPHTHA" localSheetId="27" hidden="1">#REF!</definedName>
    <definedName name="__123Graph_FNAPHTHA" localSheetId="0" hidden="1">#REF!</definedName>
    <definedName name="__123Graph_FNAPHTHA" hidden="1">#REF!</definedName>
    <definedName name="__123Graph_FPET" localSheetId="27" hidden="1">#REF!</definedName>
    <definedName name="__123Graph_FPET" localSheetId="0" hidden="1">#REF!</definedName>
    <definedName name="__123Graph_FPET" hidden="1">#REF!</definedName>
    <definedName name="__123Graph_FPP" hidden="1">#REF!</definedName>
    <definedName name="__123Graph_FPROPYLENE" hidden="1">#REF!</definedName>
    <definedName name="__123Graph_FPVC" localSheetId="27" hidden="1">#REF!</definedName>
    <definedName name="__123Graph_FPVC" localSheetId="0" hidden="1">#REF!</definedName>
    <definedName name="__123Graph_FPVC" hidden="1">#REF!</definedName>
    <definedName name="__123Graph_FPX" hidden="1">#REF!</definedName>
    <definedName name="__123Graph_FTOL" localSheetId="27" hidden="1">#REF!</definedName>
    <definedName name="__123Graph_FTOL" localSheetId="0" hidden="1">#REF!</definedName>
    <definedName name="__123Graph_FTOL" hidden="1">#REF!</definedName>
    <definedName name="__123Graph_X" localSheetId="27" hidden="1">#REF!</definedName>
    <definedName name="__123Graph_X" localSheetId="0" hidden="1">#REF!</definedName>
    <definedName name="__123Graph_X" hidden="1">#REF!</definedName>
    <definedName name="__123Graph_XBENZENE" hidden="1">#REF!</definedName>
    <definedName name="__123Graph_XBUTADIENE" hidden="1">#REF!</definedName>
    <definedName name="__123Graph_XCAPRO" localSheetId="27" hidden="1">#REF!</definedName>
    <definedName name="__123Graph_XCAPRO" localSheetId="0" hidden="1">#REF!</definedName>
    <definedName name="__123Graph_XCAPRO" hidden="1">#REF!</definedName>
    <definedName name="__123Graph_XETHYLENE" hidden="1">#REF!</definedName>
    <definedName name="__123Graph_XEVAC" localSheetId="27" hidden="1">#REF!</definedName>
    <definedName name="__123Graph_XEVAC" localSheetId="0" hidden="1">#REF!</definedName>
    <definedName name="__123Graph_XEVAC" hidden="1">#REF!</definedName>
    <definedName name="__123Graph_XHDPE" hidden="1">#REF!</definedName>
    <definedName name="__123Graph_XLDPE" hidden="1">#REF!</definedName>
    <definedName name="__123Graph_XLLDPE" hidden="1">#REF!</definedName>
    <definedName name="__123Graph_XMTBE" localSheetId="27" hidden="1">#REF!</definedName>
    <definedName name="__123Graph_XMTBE" localSheetId="0" hidden="1">#REF!</definedName>
    <definedName name="__123Graph_XMTBE" hidden="1">#REF!</definedName>
    <definedName name="__123Graph_XNAPHTHA" localSheetId="27" hidden="1">#REF!</definedName>
    <definedName name="__123Graph_XNAPHTHA" localSheetId="0" hidden="1">#REF!</definedName>
    <definedName name="__123Graph_XNAPHTHA" hidden="1">#REF!</definedName>
    <definedName name="__123Graph_XPET" localSheetId="27" hidden="1">#REF!</definedName>
    <definedName name="__123Graph_XPET" localSheetId="0" hidden="1">#REF!</definedName>
    <definedName name="__123Graph_XPET" hidden="1">#REF!</definedName>
    <definedName name="__123Graph_XPP" hidden="1">#REF!</definedName>
    <definedName name="__123Graph_XPROPYLENE" hidden="1">#REF!</definedName>
    <definedName name="__123Graph_XPVC" localSheetId="27" hidden="1">#REF!</definedName>
    <definedName name="__123Graph_XPVC" localSheetId="0" hidden="1">#REF!</definedName>
    <definedName name="__123Graph_XPVC" hidden="1">#REF!</definedName>
    <definedName name="__123Graph_XPX" hidden="1">#REF!</definedName>
    <definedName name="__123Graph_XSIDECO" localSheetId="17" hidden="1">#REF!</definedName>
    <definedName name="__123Graph_XSIDECO" localSheetId="16" hidden="1">#REF!</definedName>
    <definedName name="__123Graph_XSIDECO" localSheetId="25" hidden="1">#REF!</definedName>
    <definedName name="__123Graph_XSIDECO" localSheetId="4" hidden="1">#REF!</definedName>
    <definedName name="__123Graph_XSIDECO" localSheetId="7" hidden="1">#REF!</definedName>
    <definedName name="__123Graph_XSIDECO" localSheetId="8" hidden="1">#REF!</definedName>
    <definedName name="__123Graph_XSIDECO" localSheetId="11" hidden="1">#REF!</definedName>
    <definedName name="__123Graph_XSIDECO" localSheetId="13" hidden="1">#REF!</definedName>
    <definedName name="__123Graph_XSIDECO" localSheetId="14" hidden="1">#REF!</definedName>
    <definedName name="__123Graph_XSIDECO" localSheetId="15" hidden="1">#REF!</definedName>
    <definedName name="__123Graph_XSIDECO" localSheetId="0" hidden="1">#REF!</definedName>
    <definedName name="__123Graph_XSIDECO" localSheetId="26" hidden="1">#REF!</definedName>
    <definedName name="__123Graph_XSIDECO" hidden="1">#REF!</definedName>
    <definedName name="__123Graph_XTOL" localSheetId="0" hidden="1">#REF!</definedName>
    <definedName name="__123Graph_XTOL" hidden="1">#REF!</definedName>
    <definedName name="__3__123Graph_XCHART_1" hidden="1">#REF!</definedName>
    <definedName name="__4RiskStatFunctionsUpdateFr_q">1</definedName>
    <definedName name="__ACC2" hidden="1">#REF!</definedName>
    <definedName name="__FDS_HYPERLINK_TOGGLE_STATE__" hidden="1">"ON"</definedName>
    <definedName name="__INV12" localSheetId="27">#REF!</definedName>
    <definedName name="__INV12">#REF!</definedName>
    <definedName name="__INV13" localSheetId="27">#REF!</definedName>
    <definedName name="__INV13">#REF!</definedName>
    <definedName name="__inv2">#REF!</definedName>
    <definedName name="__la29" localSheetId="27" hidden="1">#REF!</definedName>
    <definedName name="__la29" localSheetId="0" hidden="1">#REF!</definedName>
    <definedName name="__la29" hidden="1">#REF!</definedName>
    <definedName name="__la3" localSheetId="27" hidden="1">#REF!</definedName>
    <definedName name="__la3" localSheetId="0" hidden="1">#REF!</definedName>
    <definedName name="__la3" hidden="1">#REF!</definedName>
    <definedName name="__la31" localSheetId="27" hidden="1">#REF!</definedName>
    <definedName name="__la31" localSheetId="0" hidden="1">#REF!</definedName>
    <definedName name="__la31" hidden="1">#REF!</definedName>
    <definedName name="__la32" localSheetId="0" hidden="1">#REF!</definedName>
    <definedName name="__la32" hidden="1">#REF!</definedName>
    <definedName name="__la4" localSheetId="0" hidden="1">#REF!</definedName>
    <definedName name="__la4" hidden="1">#REF!</definedName>
    <definedName name="__la5" localSheetId="0" hidden="1">#REF!</definedName>
    <definedName name="__la5" hidden="1">#REF!</definedName>
    <definedName name="__la6" localSheetId="0" hidden="1">#REF!</definedName>
    <definedName name="__la6" hidden="1">#REF!</definedName>
    <definedName name="__la7" localSheetId="0" hidden="1">#REF!</definedName>
    <definedName name="__la7" hidden="1">#REF!</definedName>
    <definedName name="__la8" localSheetId="0" hidden="1">#REF!</definedName>
    <definedName name="__la8" hidden="1">#REF!</definedName>
    <definedName name="__la9" localSheetId="0" hidden="1">#REF!</definedName>
    <definedName name="__la9" hidden="1">#REF!</definedName>
    <definedName name="__lb1" localSheetId="0" hidden="1">#REF!</definedName>
    <definedName name="__lb1" hidden="1">#REF!</definedName>
    <definedName name="__lb10" localSheetId="0" hidden="1">#REF!</definedName>
    <definedName name="__lb10" hidden="1">#REF!</definedName>
    <definedName name="__lb11" localSheetId="0" hidden="1">#REF!</definedName>
    <definedName name="__lb11" hidden="1">#REF!</definedName>
    <definedName name="__lb12" localSheetId="0" hidden="1">#REF!</definedName>
    <definedName name="__lb12" hidden="1">#REF!</definedName>
    <definedName name="__lb13" localSheetId="0" hidden="1">#REF!</definedName>
    <definedName name="__lb13" hidden="1">#REF!</definedName>
    <definedName name="__lb14" localSheetId="0" hidden="1">#REF!</definedName>
    <definedName name="__lb14" hidden="1">#REF!</definedName>
    <definedName name="__lb15" localSheetId="0" hidden="1">#REF!</definedName>
    <definedName name="__lb15" hidden="1">#REF!</definedName>
    <definedName name="__lb16" localSheetId="0" hidden="1">#REF!</definedName>
    <definedName name="__lb16" hidden="1">#REF!</definedName>
    <definedName name="__lb17" localSheetId="0" hidden="1">#REF!</definedName>
    <definedName name="__lb17" hidden="1">#REF!</definedName>
    <definedName name="__lb18" localSheetId="0" hidden="1">#REF!</definedName>
    <definedName name="__lb18" hidden="1">#REF!</definedName>
    <definedName name="__lb19" localSheetId="0" hidden="1">#REF!</definedName>
    <definedName name="__lb19" hidden="1">#REF!</definedName>
    <definedName name="__lb2" localSheetId="0" hidden="1">#REF!</definedName>
    <definedName name="__lb2" hidden="1">#REF!</definedName>
    <definedName name="__lb20" localSheetId="0" hidden="1">#REF!</definedName>
    <definedName name="__lb20" hidden="1">#REF!</definedName>
    <definedName name="__lb21" localSheetId="0" hidden="1">#REF!</definedName>
    <definedName name="__lb21" hidden="1">#REF!</definedName>
    <definedName name="__lb22" localSheetId="0" hidden="1">#REF!</definedName>
    <definedName name="__lb22" hidden="1">#REF!</definedName>
    <definedName name="__lb23" localSheetId="0" hidden="1">#REF!</definedName>
    <definedName name="__lb23" hidden="1">#REF!</definedName>
    <definedName name="__lb24" localSheetId="0" hidden="1">#REF!</definedName>
    <definedName name="__lb24" hidden="1">#REF!</definedName>
    <definedName name="__lb25" localSheetId="0" hidden="1">#REF!</definedName>
    <definedName name="__lb25" hidden="1">#REF!</definedName>
    <definedName name="__lb27" localSheetId="0" hidden="1">#REF!</definedName>
    <definedName name="__lb27" hidden="1">#REF!</definedName>
    <definedName name="__lb28" localSheetId="0" hidden="1">#REF!</definedName>
    <definedName name="__lb28" hidden="1">#REF!</definedName>
    <definedName name="__lb29" localSheetId="0" hidden="1">#REF!</definedName>
    <definedName name="__lb29" hidden="1">#REF!</definedName>
    <definedName name="__lb3" localSheetId="0" hidden="1">#REF!</definedName>
    <definedName name="__lb3" hidden="1">#REF!</definedName>
    <definedName name="__lb30" localSheetId="0" hidden="1">#REF!</definedName>
    <definedName name="__lb30" hidden="1">#REF!</definedName>
    <definedName name="__lb31" localSheetId="0" hidden="1">#REF!</definedName>
    <definedName name="__lb31" hidden="1">#REF!</definedName>
    <definedName name="__lb32" localSheetId="0" hidden="1">#REF!</definedName>
    <definedName name="__lb32" hidden="1">#REF!</definedName>
    <definedName name="__lb4" localSheetId="0" hidden="1">#REF!</definedName>
    <definedName name="__lb4" hidden="1">#REF!</definedName>
    <definedName name="__LB454" localSheetId="0" hidden="1">#REF!</definedName>
    <definedName name="__LB454" hidden="1">#REF!</definedName>
    <definedName name="__lb5" localSheetId="0" hidden="1">#REF!</definedName>
    <definedName name="__lb5" hidden="1">#REF!</definedName>
    <definedName name="__lb6" localSheetId="0" hidden="1">#REF!</definedName>
    <definedName name="__lb6" hidden="1">#REF!</definedName>
    <definedName name="__lb7" localSheetId="0" hidden="1">#REF!</definedName>
    <definedName name="__lb7" hidden="1">#REF!</definedName>
    <definedName name="__lb8" localSheetId="0" hidden="1">#REF!</definedName>
    <definedName name="__lb8" hidden="1">#REF!</definedName>
    <definedName name="__lb9" localSheetId="0" hidden="1">#REF!</definedName>
    <definedName name="__lb9" hidden="1">#REF!</definedName>
    <definedName name="__lbc1" localSheetId="0" hidden="1">#REF!</definedName>
    <definedName name="__lbc1" hidden="1">#REF!</definedName>
    <definedName name="__lbc10" localSheetId="0" hidden="1">#REF!</definedName>
    <definedName name="__lbc10" hidden="1">#REF!</definedName>
    <definedName name="__lbc11" localSheetId="0" hidden="1">#REF!</definedName>
    <definedName name="__lbc11" hidden="1">#REF!</definedName>
    <definedName name="__lbc12" localSheetId="0" hidden="1">#REF!</definedName>
    <definedName name="__lbc12" hidden="1">#REF!</definedName>
    <definedName name="__lbc13" localSheetId="0" hidden="1">#REF!</definedName>
    <definedName name="__lbc13" hidden="1">#REF!</definedName>
    <definedName name="__lbc14" localSheetId="0" hidden="1">#REF!</definedName>
    <definedName name="__lbc14" hidden="1">#REF!</definedName>
    <definedName name="__lbc15" localSheetId="0" hidden="1">#REF!</definedName>
    <definedName name="__lbc15" hidden="1">#REF!</definedName>
    <definedName name="__lbc16" localSheetId="0" hidden="1">#REF!</definedName>
    <definedName name="__lbc16" hidden="1">#REF!</definedName>
    <definedName name="__lbc17" localSheetId="0" hidden="1">#REF!</definedName>
    <definedName name="__lbc17" hidden="1">#REF!</definedName>
    <definedName name="__lbc18" localSheetId="0" hidden="1">#REF!</definedName>
    <definedName name="__lbc18" hidden="1">#REF!</definedName>
    <definedName name="__lbc19" localSheetId="0" hidden="1">#REF!</definedName>
    <definedName name="__lbc19" hidden="1">#REF!</definedName>
    <definedName name="__lbc2" localSheetId="0" hidden="1">#REF!</definedName>
    <definedName name="__lbc2" hidden="1">#REF!</definedName>
    <definedName name="__lbc20" localSheetId="0" hidden="1">#REF!</definedName>
    <definedName name="__lbc20" hidden="1">#REF!</definedName>
    <definedName name="__lbc21" localSheetId="0" hidden="1">#REF!</definedName>
    <definedName name="__lbc21" hidden="1">#REF!</definedName>
    <definedName name="__lbc22" localSheetId="0" hidden="1">#REF!</definedName>
    <definedName name="__lbc22" hidden="1">#REF!</definedName>
    <definedName name="__lbc23" localSheetId="0" hidden="1">#REF!</definedName>
    <definedName name="__lbc23" hidden="1">#REF!</definedName>
    <definedName name="__lbc24" localSheetId="0" hidden="1">#REF!</definedName>
    <definedName name="__lbc24" hidden="1">#REF!</definedName>
    <definedName name="__lbc25" localSheetId="0" hidden="1">#REF!</definedName>
    <definedName name="__lbc25" hidden="1">#REF!</definedName>
    <definedName name="__lbc26" localSheetId="0" hidden="1">#REF!</definedName>
    <definedName name="__lbc26" hidden="1">#REF!</definedName>
    <definedName name="__lbc27" localSheetId="0" hidden="1">#REF!</definedName>
    <definedName name="__lbc27" hidden="1">#REF!</definedName>
    <definedName name="__lbc28" localSheetId="0" hidden="1">#REF!</definedName>
    <definedName name="__lbc28" hidden="1">#REF!</definedName>
    <definedName name="__lbc29" localSheetId="0" hidden="1">#REF!</definedName>
    <definedName name="__lbc29" hidden="1">#REF!</definedName>
    <definedName name="__lbc3" localSheetId="0" hidden="1">#REF!</definedName>
    <definedName name="__lbc3" hidden="1">#REF!</definedName>
    <definedName name="__lbc31" localSheetId="0" hidden="1">#REF!</definedName>
    <definedName name="__lbc31" hidden="1">#REF!</definedName>
    <definedName name="__lbc32" localSheetId="0" hidden="1">#REF!</definedName>
    <definedName name="__lbc32" hidden="1">#REF!</definedName>
    <definedName name="__lbc4" localSheetId="0" hidden="1">#REF!</definedName>
    <definedName name="__lbc4" hidden="1">#REF!</definedName>
    <definedName name="__lbc5" localSheetId="0" hidden="1">#REF!</definedName>
    <definedName name="__lbc5" hidden="1">#REF!</definedName>
    <definedName name="__lbc6" localSheetId="0" hidden="1">#REF!</definedName>
    <definedName name="__lbc6" hidden="1">#REF!</definedName>
    <definedName name="__lbc7" localSheetId="0" hidden="1">#REF!</definedName>
    <definedName name="__lbc7" hidden="1">#REF!</definedName>
    <definedName name="__lbc8" localSheetId="0" hidden="1">#REF!</definedName>
    <definedName name="__lbc8" hidden="1">#REF!</definedName>
    <definedName name="__lbc9" localSheetId="0" hidden="1">#REF!</definedName>
    <definedName name="__lbc9" hidden="1">#REF!</definedName>
    <definedName name="__ld26" localSheetId="0" hidden="1">#REF!</definedName>
    <definedName name="__ld26" hidden="1">#REF!</definedName>
    <definedName name="__ld31" localSheetId="0" hidden="1">#REF!</definedName>
    <definedName name="__ld31" hidden="1">#REF!</definedName>
    <definedName name="__le31" localSheetId="0" hidden="1">#REF!</definedName>
    <definedName name="__le31" hidden="1">#REF!</definedName>
    <definedName name="__lf31" localSheetId="0" hidden="1">#REF!</definedName>
    <definedName name="__lf31" hidden="1">#REF!</definedName>
    <definedName name="__Orc2000">#REF!</definedName>
    <definedName name="__res9600">#REF!</definedName>
    <definedName name="__reS9699">#REF!</definedName>
    <definedName name="__Res99">#REF!</definedName>
    <definedName name="__TitleTemp">#NAME?</definedName>
    <definedName name="__x10" localSheetId="27" hidden="1">#REF!</definedName>
    <definedName name="__x10" localSheetId="0" hidden="1">#REF!</definedName>
    <definedName name="__x10" hidden="1">#REF!</definedName>
    <definedName name="__x11" localSheetId="27" hidden="1">#REF!</definedName>
    <definedName name="__x11" localSheetId="0" hidden="1">#REF!</definedName>
    <definedName name="__x11" hidden="1">#REF!</definedName>
    <definedName name="__x12" localSheetId="27" hidden="1">#REF!</definedName>
    <definedName name="__x12" localSheetId="0" hidden="1">#REF!</definedName>
    <definedName name="__x12" hidden="1">#REF!</definedName>
    <definedName name="__x13" localSheetId="0" hidden="1">#REF!</definedName>
    <definedName name="__x13" hidden="1">#REF!</definedName>
    <definedName name="__x14" localSheetId="0" hidden="1">#REF!</definedName>
    <definedName name="__x14" hidden="1">#REF!</definedName>
    <definedName name="__x15" localSheetId="0" hidden="1">#REF!</definedName>
    <definedName name="__x15" hidden="1">#REF!</definedName>
    <definedName name="__x16" localSheetId="0" hidden="1">#REF!</definedName>
    <definedName name="__x16" hidden="1">#REF!</definedName>
    <definedName name="__x17" localSheetId="0" hidden="1">#REF!</definedName>
    <definedName name="__x17" hidden="1">#REF!</definedName>
    <definedName name="__x18" localSheetId="0" hidden="1">#REF!</definedName>
    <definedName name="__x18" hidden="1">#REF!</definedName>
    <definedName name="__x19" localSheetId="0" hidden="1">#REF!</definedName>
    <definedName name="__x19" hidden="1">#REF!</definedName>
    <definedName name="__x20" localSheetId="0" hidden="1">#REF!</definedName>
    <definedName name="__x20" hidden="1">#REF!</definedName>
    <definedName name="__x21" localSheetId="0" hidden="1">#REF!</definedName>
    <definedName name="__x21" hidden="1">#REF!</definedName>
    <definedName name="__x22" localSheetId="0" hidden="1">#REF!</definedName>
    <definedName name="__x22" hidden="1">#REF!</definedName>
    <definedName name="__x23" localSheetId="0" hidden="1">#REF!</definedName>
    <definedName name="__x23" hidden="1">#REF!</definedName>
    <definedName name="__x24" localSheetId="0" hidden="1">#REF!</definedName>
    <definedName name="__x24" hidden="1">#REF!</definedName>
    <definedName name="__x25" localSheetId="0" hidden="1">#REF!</definedName>
    <definedName name="__x25" hidden="1">#REF!</definedName>
    <definedName name="__x28" localSheetId="0" hidden="1">#REF!</definedName>
    <definedName name="__x28" hidden="1">#REF!</definedName>
    <definedName name="__x29" localSheetId="0" hidden="1">#REF!</definedName>
    <definedName name="__x29" hidden="1">#REF!</definedName>
    <definedName name="__x32" localSheetId="0" hidden="1">#REF!</definedName>
    <definedName name="__x32" hidden="1">#REF!</definedName>
    <definedName name="__x4" localSheetId="0" hidden="1">#REF!</definedName>
    <definedName name="__x4" hidden="1">#REF!</definedName>
    <definedName name="__x5" localSheetId="0" hidden="1">#REF!</definedName>
    <definedName name="__x5" hidden="1">#REF!</definedName>
    <definedName name="__x6" localSheetId="0" hidden="1">#REF!</definedName>
    <definedName name="__x6" hidden="1">#REF!</definedName>
    <definedName name="__x7" localSheetId="0" hidden="1">#REF!</definedName>
    <definedName name="__x7" hidden="1">#REF!</definedName>
    <definedName name="__x8" localSheetId="0" hidden="1">#REF!</definedName>
    <definedName name="__x8" hidden="1">#REF!</definedName>
    <definedName name="__x9" localSheetId="0" hidden="1">#REF!</definedName>
    <definedName name="__x9" hidden="1">#REF!</definedName>
    <definedName name="_0.CURVA_OBRA">#REF!</definedName>
    <definedName name="_00.VAR._GASTO">#REF!</definedName>
    <definedName name="_000.CURVA_FINA">#REF!</definedName>
    <definedName name="_1_">#REF!</definedName>
    <definedName name="_1__123Graph_ACHART_1" localSheetId="0" hidden="1">#REF!</definedName>
    <definedName name="_1__123Graph_ACHART_1" hidden="1">#REF!</definedName>
    <definedName name="_1_A" localSheetId="27">#REF!</definedName>
    <definedName name="_1_A">#REF!</definedName>
    <definedName name="_10_" localSheetId="27">#REF!</definedName>
    <definedName name="_10_">#REF!</definedName>
    <definedName name="_10_A" localSheetId="27">#REF!</definedName>
    <definedName name="_10_A">#REF!</definedName>
    <definedName name="_101001">"sfev"</definedName>
    <definedName name="_11.SERV.TECNIC" localSheetId="27">#REF!</definedName>
    <definedName name="_11.SERV.TECNIC">#REF!</definedName>
    <definedName name="_11_" localSheetId="27">#REF!</definedName>
    <definedName name="_11_">#REF!</definedName>
    <definedName name="_11_A" localSheetId="27">#REF!</definedName>
    <definedName name="_11_A">#REF!</definedName>
    <definedName name="_12.GAST_GERAIS">#REF!</definedName>
    <definedName name="_12_">#REF!</definedName>
    <definedName name="_12_A">#REF!</definedName>
    <definedName name="_13.P._PERMAN.">#REF!</definedName>
    <definedName name="_13_">#REF!</definedName>
    <definedName name="_13_A">#REF!</definedName>
    <definedName name="_14_">#REF!</definedName>
    <definedName name="_14__123Graph_ACHART_24" hidden="1">#REF!</definedName>
    <definedName name="_14_A">#REF!</definedName>
    <definedName name="_15.IMPL._CANT">#REF!</definedName>
    <definedName name="_15_">#REF!</definedName>
    <definedName name="_15__123Graph_ACHART_25" hidden="1">#REF!</definedName>
    <definedName name="_15_A">#REF!</definedName>
    <definedName name="_16.EQUIPAM.">#REF!</definedName>
    <definedName name="_16_">#REF!</definedName>
    <definedName name="_16__123Graph_ACHART_26" hidden="1">#REF!</definedName>
    <definedName name="_16_A">#REF!</definedName>
    <definedName name="_17.OPER._CANT.">#REF!</definedName>
    <definedName name="_17_">#REF!</definedName>
    <definedName name="_17__123Graph_ACHART_27" hidden="1">#REF!</definedName>
    <definedName name="_17_A">#REF!</definedName>
    <definedName name="_18_">#REF!</definedName>
    <definedName name="_18__123Graph_ACHART_28" hidden="1">#REF!</definedName>
    <definedName name="_18_A">#REF!</definedName>
    <definedName name="_19.TRANC_LIMP.">#REF!</definedName>
    <definedName name="_19_">#REF!</definedName>
    <definedName name="_19__123Graph_ACHART_29" hidden="1">#REF!</definedName>
    <definedName name="_19_A">#REF!</definedName>
    <definedName name="_2_">#REF!</definedName>
    <definedName name="_2__123Graph_ACHART_1" localSheetId="27" hidden="1">#REF!</definedName>
    <definedName name="_2__123Graph_ACHART_1" localSheetId="0" hidden="1">#REF!</definedName>
    <definedName name="_2__123Graph_ACHART_1" hidden="1">#REF!</definedName>
    <definedName name="_2__123Graph_ACHART_10" hidden="1">#REF!</definedName>
    <definedName name="_2__123Graph_BCHART_1" localSheetId="27" hidden="1">#REF!</definedName>
    <definedName name="_2__123Graph_BCHART_1" localSheetId="0" hidden="1">#REF!</definedName>
    <definedName name="_2__123Graph_BCHART_1" hidden="1">#REF!</definedName>
    <definedName name="_2_A" localSheetId="27">#REF!</definedName>
    <definedName name="_2_A">#REF!</definedName>
    <definedName name="_20_" localSheetId="27">#REF!</definedName>
    <definedName name="_20_">#REF!</definedName>
    <definedName name="_20__123Graph_ACHART_3" hidden="1">#REF!</definedName>
    <definedName name="_20_A" localSheetId="27">#REF!</definedName>
    <definedName name="_20_A">#REF!</definedName>
    <definedName name="_21_">#REF!</definedName>
    <definedName name="_21__123Graph_ACHART_30" hidden="1">#REF!</definedName>
    <definedName name="_21_A">#REF!</definedName>
    <definedName name="_22__123Graph_ACHART_4" hidden="1">#REF!</definedName>
    <definedName name="_23_">#REF!</definedName>
    <definedName name="_23__123Graph_ACHART_5" hidden="1">#REF!</definedName>
    <definedName name="_23_A">#REF!</definedName>
    <definedName name="_24__123Graph_ACHART_6" hidden="1">#REF!</definedName>
    <definedName name="_25.PREP.TERREN">#REF!</definedName>
    <definedName name="_25_">#REF!</definedName>
    <definedName name="_25__123Graph_ACHART_7" hidden="1">#REF!</definedName>
    <definedName name="_25_A">#REF!</definedName>
    <definedName name="_26_">#REF!</definedName>
    <definedName name="_26__123Graph_ACHART_8" hidden="1">#REF!</definedName>
    <definedName name="_26_A">#REF!</definedName>
    <definedName name="_27.FUND._ESCOR">#REF!</definedName>
    <definedName name="_27_">#REF!</definedName>
    <definedName name="_27__123Graph_ACHART_9" hidden="1">#REF!</definedName>
    <definedName name="_27_A">#REF!</definedName>
    <definedName name="_28_">#REF!</definedName>
    <definedName name="_28__123Graph_BCHART_1" hidden="1">#REF!</definedName>
    <definedName name="_28_A">#REF!</definedName>
    <definedName name="_29_">#REF!</definedName>
    <definedName name="_29__123Graph_BCHART_10" hidden="1">#REF!</definedName>
    <definedName name="_29_A">#REF!</definedName>
    <definedName name="_3_">#REF!</definedName>
    <definedName name="_3__123Graph_ACHART_1" localSheetId="27" hidden="1">#REF!</definedName>
    <definedName name="_3__123Graph_ACHART_1" localSheetId="0" hidden="1">#REF!</definedName>
    <definedName name="_3__123Graph_ACHART_1" hidden="1">#REF!</definedName>
    <definedName name="_3__123Graph_ACHART_11" hidden="1">#REF!</definedName>
    <definedName name="_3__123Graph_XCHART_1" hidden="1">#REF!</definedName>
    <definedName name="_3_A" localSheetId="27">#REF!</definedName>
    <definedName name="_3_A">#REF!</definedName>
    <definedName name="_30_" localSheetId="27">#REF!</definedName>
    <definedName name="_30_">#REF!</definedName>
    <definedName name="_30__123Graph_BCHART_11" hidden="1">#REF!</definedName>
    <definedName name="_30_A" localSheetId="27">#REF!</definedName>
    <definedName name="_30_A">#REF!</definedName>
    <definedName name="_31_">#REF!</definedName>
    <definedName name="_31__123Graph_BCHART_12" hidden="1">#REF!</definedName>
    <definedName name="_31_32_33.C_A">#REF!</definedName>
    <definedName name="_31_A">#REF!</definedName>
    <definedName name="_32_">#REF!</definedName>
    <definedName name="_32__123Graph_BCHART_13" hidden="1">#REF!</definedName>
    <definedName name="_32_A">#REF!</definedName>
    <definedName name="_33__123Graph_BCHART_14" hidden="1">#REF!</definedName>
    <definedName name="_34__123Graph_BCHART_15" hidden="1">#REF!</definedName>
    <definedName name="_35__123Graph_BCHART_16" hidden="1">#REF!</definedName>
    <definedName name="_36__123Graph_BCHART_17" hidden="1">#REF!</definedName>
    <definedName name="_37__123Graph_BCHART_18" hidden="1">#REF!</definedName>
    <definedName name="_38__123Graph_BCHART_2" hidden="1">#REF!</definedName>
    <definedName name="_39__123Graph_BCHART_22" hidden="1">#REF!</definedName>
    <definedName name="_4_">#REF!</definedName>
    <definedName name="_4__123Graph_ACHART_12" hidden="1">#REF!</definedName>
    <definedName name="_4__123Graph_BCHART_1" localSheetId="0" hidden="1">#REF!</definedName>
    <definedName name="_4__123Graph_BCHART_1" hidden="1">#REF!</definedName>
    <definedName name="_4_A" localSheetId="27">#REF!</definedName>
    <definedName name="_4_A">#REF!</definedName>
    <definedName name="_40__123Graph_BCHART_23" hidden="1">#REF!</definedName>
    <definedName name="_41.ALVENARIA" localSheetId="27">#REF!</definedName>
    <definedName name="_41.ALVENARIA">#REF!</definedName>
    <definedName name="_41__123Graph_BCHART_24" hidden="1">#REF!</definedName>
    <definedName name="_4134_" localSheetId="27">#REF!</definedName>
    <definedName name="_4134_">#REF!</definedName>
    <definedName name="_4134_A">#REF!</definedName>
    <definedName name="_4135_">#REF!</definedName>
    <definedName name="_4135_A">#REF!</definedName>
    <definedName name="_4136_">#REF!</definedName>
    <definedName name="_4136_A">#REF!</definedName>
    <definedName name="_4138_">#REF!</definedName>
    <definedName name="_4138_A">#REF!</definedName>
    <definedName name="_4139_">#REF!</definedName>
    <definedName name="_4139_A">#REF!</definedName>
    <definedName name="_4140_">#REF!</definedName>
    <definedName name="_4140_A">#REF!</definedName>
    <definedName name="_4141_">#REF!</definedName>
    <definedName name="_4141_A">#REF!</definedName>
    <definedName name="_4142_">#REF!</definedName>
    <definedName name="_4142_A">#REF!</definedName>
    <definedName name="_4143_">#REF!</definedName>
    <definedName name="_4143_A">#REF!</definedName>
    <definedName name="_4144_">#REF!</definedName>
    <definedName name="_4144_A">#REF!</definedName>
    <definedName name="_4145_">#REF!</definedName>
    <definedName name="_4145_A">#REF!</definedName>
    <definedName name="_4146_">#REF!</definedName>
    <definedName name="_4146_A">#REF!</definedName>
    <definedName name="_4147_">#REF!</definedName>
    <definedName name="_4147_A">#REF!</definedName>
    <definedName name="_4148_">#REF!</definedName>
    <definedName name="_4148_A">#REF!</definedName>
    <definedName name="_4149_">#REF!</definedName>
    <definedName name="_4149_A">#REF!</definedName>
    <definedName name="_4150_">#REF!</definedName>
    <definedName name="_4150_A">#REF!</definedName>
    <definedName name="_4151_">#REF!</definedName>
    <definedName name="_4151_A">#REF!</definedName>
    <definedName name="_4152_">#REF!</definedName>
    <definedName name="_4152_A">#REF!</definedName>
    <definedName name="_4197_">#REF!</definedName>
    <definedName name="_4197_A">#REF!</definedName>
    <definedName name="_42__123Graph_BCHART_25" hidden="1">#REF!</definedName>
    <definedName name="_4201_">#REF!</definedName>
    <definedName name="_4201_A">#REF!</definedName>
    <definedName name="_4202_">#REF!</definedName>
    <definedName name="_4202_A">#REF!</definedName>
    <definedName name="_4245_">#REF!</definedName>
    <definedName name="_4245_A">#REF!</definedName>
    <definedName name="_43__123Graph_BCHART_26" hidden="1">#REF!</definedName>
    <definedName name="_4301_">#REF!</definedName>
    <definedName name="_4301_A">#REF!</definedName>
    <definedName name="_4302_">#REF!</definedName>
    <definedName name="_4302_A">#REF!</definedName>
    <definedName name="_4303_">#REF!</definedName>
    <definedName name="_4303_A">#REF!</definedName>
    <definedName name="_4305_">#REF!</definedName>
    <definedName name="_4305_A">#REF!</definedName>
    <definedName name="_4306_">#REF!</definedName>
    <definedName name="_4306_A">#REF!</definedName>
    <definedName name="_4307_">#REF!</definedName>
    <definedName name="_4307_A">#REF!</definedName>
    <definedName name="_4308_">#REF!</definedName>
    <definedName name="_4308_A">#REF!</definedName>
    <definedName name="_4309_">#REF!</definedName>
    <definedName name="_4309_A">#REF!</definedName>
    <definedName name="_4310_">#REF!</definedName>
    <definedName name="_4310_A">#REF!</definedName>
    <definedName name="_4312_">#REF!</definedName>
    <definedName name="_4312_A">#REF!</definedName>
    <definedName name="_4313_">#REF!</definedName>
    <definedName name="_4313_A">#REF!</definedName>
    <definedName name="_4314_">#REF!</definedName>
    <definedName name="_4314_A">#REF!</definedName>
    <definedName name="_4315_">#REF!</definedName>
    <definedName name="_4315_A">#REF!</definedName>
    <definedName name="_4319_">#REF!</definedName>
    <definedName name="_4319_A">#REF!</definedName>
    <definedName name="_4320_">#REF!</definedName>
    <definedName name="_4320_A">#REF!</definedName>
    <definedName name="_4321_">#REF!</definedName>
    <definedName name="_4321_A">#REF!</definedName>
    <definedName name="_4322_">#REF!</definedName>
    <definedName name="_4322_A">#REF!</definedName>
    <definedName name="_4323_">#REF!</definedName>
    <definedName name="_4323_A">#REF!</definedName>
    <definedName name="_4324_">#REF!</definedName>
    <definedName name="_4324_A">#REF!</definedName>
    <definedName name="_4325_">#REF!</definedName>
    <definedName name="_4325_A">#REF!</definedName>
    <definedName name="_4326_">#REF!</definedName>
    <definedName name="_4326_A">#REF!</definedName>
    <definedName name="_4327_">#REF!</definedName>
    <definedName name="_4327_A">#REF!</definedName>
    <definedName name="_4328_">#REF!</definedName>
    <definedName name="_4328_A">#REF!</definedName>
    <definedName name="_4329_">#REF!</definedName>
    <definedName name="_4329_A">#REF!</definedName>
    <definedName name="_4330_">#REF!</definedName>
    <definedName name="_4330_A">#REF!</definedName>
    <definedName name="_4332_">#REF!</definedName>
    <definedName name="_4332_A">#REF!</definedName>
    <definedName name="_4334_">#REF!</definedName>
    <definedName name="_4334_A">#REF!</definedName>
    <definedName name="_4336_">#REF!</definedName>
    <definedName name="_4336_A">#REF!</definedName>
    <definedName name="_4337_">#REF!</definedName>
    <definedName name="_4337_A">#REF!</definedName>
    <definedName name="_4339_">#REF!</definedName>
    <definedName name="_4339_A">#REF!</definedName>
    <definedName name="_4340_">#REF!</definedName>
    <definedName name="_4340_A">#REF!</definedName>
    <definedName name="_4344_">#REF!</definedName>
    <definedName name="_4344_A">#REF!</definedName>
    <definedName name="_4346_">#REF!</definedName>
    <definedName name="_4346_A">#REF!</definedName>
    <definedName name="_4347_">#REF!</definedName>
    <definedName name="_4347_A">#REF!</definedName>
    <definedName name="_4349_">#REF!</definedName>
    <definedName name="_4349_A">#REF!</definedName>
    <definedName name="_4351_">#REF!</definedName>
    <definedName name="_4351_A">#REF!</definedName>
    <definedName name="_4352_">#REF!</definedName>
    <definedName name="_4352_A">#REF!</definedName>
    <definedName name="_4353_">#REF!</definedName>
    <definedName name="_4353_A">#REF!</definedName>
    <definedName name="_4354_">#REF!</definedName>
    <definedName name="_4354_A">#REF!</definedName>
    <definedName name="_44__123Graph_BCHART_27" hidden="1">#REF!</definedName>
    <definedName name="_4411_">#REF!</definedName>
    <definedName name="_4411_A">#REF!</definedName>
    <definedName name="_4412_">#REF!</definedName>
    <definedName name="_4412_A">#REF!</definedName>
    <definedName name="_4413_">#REF!</definedName>
    <definedName name="_4413_A">#REF!</definedName>
    <definedName name="_4416_">#REF!</definedName>
    <definedName name="_4416_A">#REF!</definedName>
    <definedName name="_4417_">#REF!</definedName>
    <definedName name="_4417_A">#REF!</definedName>
    <definedName name="_4418_">#REF!</definedName>
    <definedName name="_4418_A">#REF!</definedName>
    <definedName name="_4419_">#REF!</definedName>
    <definedName name="_4419_A">#REF!</definedName>
    <definedName name="_4427_">#REF!</definedName>
    <definedName name="_4427_A">#REF!</definedName>
    <definedName name="_4428_">#REF!</definedName>
    <definedName name="_4428_A">#REF!</definedName>
    <definedName name="_4429_">#REF!</definedName>
    <definedName name="_4429_A">#REF!</definedName>
    <definedName name="_4430_">#REF!</definedName>
    <definedName name="_4430_A">#REF!</definedName>
    <definedName name="_4431_">#REF!</definedName>
    <definedName name="_4431_A">#REF!</definedName>
    <definedName name="_4432_">#REF!</definedName>
    <definedName name="_4432_A">#REF!</definedName>
    <definedName name="_4433_">#REF!</definedName>
    <definedName name="_4433_A">#REF!</definedName>
    <definedName name="_4435_">#REF!</definedName>
    <definedName name="_4435_A">#REF!</definedName>
    <definedName name="_4437_">#REF!</definedName>
    <definedName name="_4437_A">#REF!</definedName>
    <definedName name="_4438_">#REF!</definedName>
    <definedName name="_4438_A">#REF!</definedName>
    <definedName name="_4439_">#REF!</definedName>
    <definedName name="_4439_A">#REF!</definedName>
    <definedName name="_4441_">#REF!</definedName>
    <definedName name="_4441_A">#REF!</definedName>
    <definedName name="_4442_">#REF!</definedName>
    <definedName name="_4442_A">#REF!</definedName>
    <definedName name="_4444_">#REF!</definedName>
    <definedName name="_4444_A">#REF!</definedName>
    <definedName name="_4445_">#REF!</definedName>
    <definedName name="_4445_A">#REF!</definedName>
    <definedName name="_4446_">#REF!</definedName>
    <definedName name="_4446_A">#REF!</definedName>
    <definedName name="_4447_">#REF!</definedName>
    <definedName name="_4447_A">#REF!</definedName>
    <definedName name="_4448_">#REF!</definedName>
    <definedName name="_4448_A">#REF!</definedName>
    <definedName name="_4449_">#REF!</definedName>
    <definedName name="_4449_A">#REF!</definedName>
    <definedName name="_4450_">#REF!</definedName>
    <definedName name="_4450_A">#REF!</definedName>
    <definedName name="_4451_">#REF!</definedName>
    <definedName name="_4451_A">#REF!</definedName>
    <definedName name="_4452_">#REF!</definedName>
    <definedName name="_4452_A">#REF!</definedName>
    <definedName name="_4454_">#REF!</definedName>
    <definedName name="_4454_A">#REF!</definedName>
    <definedName name="_4455_">#REF!</definedName>
    <definedName name="_4455_A">#REF!</definedName>
    <definedName name="_4456_">#REF!</definedName>
    <definedName name="_4456_A">#REF!</definedName>
    <definedName name="_4458_">#REF!</definedName>
    <definedName name="_4458_A">#REF!</definedName>
    <definedName name="_4460_">#REF!</definedName>
    <definedName name="_4460_A">#REF!</definedName>
    <definedName name="_4464_">#REF!</definedName>
    <definedName name="_4464_A">#REF!</definedName>
    <definedName name="_4465_">#REF!</definedName>
    <definedName name="_4465_A">#REF!</definedName>
    <definedName name="_4471_">#REF!</definedName>
    <definedName name="_4471_A">#REF!</definedName>
    <definedName name="_4472_">#REF!</definedName>
    <definedName name="_4472_A">#REF!</definedName>
    <definedName name="_4474_">#REF!</definedName>
    <definedName name="_4474_A">#REF!</definedName>
    <definedName name="_4475_">#REF!</definedName>
    <definedName name="_4475_A">#REF!</definedName>
    <definedName name="_4477_">#REF!</definedName>
    <definedName name="_4477_A">#REF!</definedName>
    <definedName name="_4481_">#REF!</definedName>
    <definedName name="_4481_A">#REF!</definedName>
    <definedName name="_4484_">#REF!</definedName>
    <definedName name="_4484_A">#REF!</definedName>
    <definedName name="_4485_">#REF!</definedName>
    <definedName name="_4485_A">#REF!</definedName>
    <definedName name="_4486_">#REF!</definedName>
    <definedName name="_4486_A">#REF!</definedName>
    <definedName name="_4487_">#REF!</definedName>
    <definedName name="_4487_A">#REF!</definedName>
    <definedName name="_4488_">#REF!</definedName>
    <definedName name="_4488_A">#REF!</definedName>
    <definedName name="_4491_">#REF!</definedName>
    <definedName name="_4491_A">#REF!</definedName>
    <definedName name="_4493_">#REF!</definedName>
    <definedName name="_4493_A">#REF!</definedName>
    <definedName name="_4494_">#REF!</definedName>
    <definedName name="_4494_A">#REF!</definedName>
    <definedName name="_4495_">#REF!</definedName>
    <definedName name="_4495_A">#REF!</definedName>
    <definedName name="_4496_">#REF!</definedName>
    <definedName name="_4496_A">#REF!</definedName>
    <definedName name="_4497_">#REF!</definedName>
    <definedName name="_4497_A">#REF!</definedName>
    <definedName name="_4499_">#REF!</definedName>
    <definedName name="_4499_A">#REF!</definedName>
    <definedName name="_45__123Graph_BCHART_28" hidden="1">#REF!</definedName>
    <definedName name="_4500_">#REF!</definedName>
    <definedName name="_4500_A">#REF!</definedName>
    <definedName name="_4501_">#REF!</definedName>
    <definedName name="_4501_A">#REF!</definedName>
    <definedName name="_4502_">#REF!</definedName>
    <definedName name="_4502_A">#REF!</definedName>
    <definedName name="_4507_">#REF!</definedName>
    <definedName name="_4507_A">#REF!</definedName>
    <definedName name="_4509_">#REF!</definedName>
    <definedName name="_4509_A">#REF!</definedName>
    <definedName name="_4511_">#REF!</definedName>
    <definedName name="_4511_A">#REF!</definedName>
    <definedName name="_4513_">#REF!</definedName>
    <definedName name="_4513_A">#REF!</definedName>
    <definedName name="_4514_">#REF!</definedName>
    <definedName name="_4514_A">#REF!</definedName>
    <definedName name="_4515_">#REF!</definedName>
    <definedName name="_4515_A">#REF!</definedName>
    <definedName name="_4516_">#REF!</definedName>
    <definedName name="_4516_A">#REF!</definedName>
    <definedName name="_4519_">#REF!</definedName>
    <definedName name="_4519_A">#REF!</definedName>
    <definedName name="_4520_">#REF!</definedName>
    <definedName name="_4520_A">#REF!</definedName>
    <definedName name="_4521_">#REF!</definedName>
    <definedName name="_4521_A">#REF!</definedName>
    <definedName name="_4522_">#REF!</definedName>
    <definedName name="_4522_A">#REF!</definedName>
    <definedName name="_4524_">#REF!</definedName>
    <definedName name="_4524_A">#REF!</definedName>
    <definedName name="_4525_">#REF!</definedName>
    <definedName name="_4525_A">#REF!</definedName>
    <definedName name="_4529_">#REF!</definedName>
    <definedName name="_4529_A">#REF!</definedName>
    <definedName name="_4530_">#REF!</definedName>
    <definedName name="_4530_A">#REF!</definedName>
    <definedName name="_4535_">#REF!</definedName>
    <definedName name="_4535_A">#REF!</definedName>
    <definedName name="_4541_">#REF!</definedName>
    <definedName name="_4541_A">#REF!</definedName>
    <definedName name="_4542_">#REF!</definedName>
    <definedName name="_4542_A">#REF!</definedName>
    <definedName name="_4543_">#REF!</definedName>
    <definedName name="_4543_A">#REF!</definedName>
    <definedName name="_4544_">#REF!</definedName>
    <definedName name="_4544_A">#REF!</definedName>
    <definedName name="_4545_">#REF!</definedName>
    <definedName name="_4545_A">#REF!</definedName>
    <definedName name="_4549_">#REF!</definedName>
    <definedName name="_4549_A">#REF!</definedName>
    <definedName name="_4552_">#REF!</definedName>
    <definedName name="_4552_A">#REF!</definedName>
    <definedName name="_4553_">#REF!</definedName>
    <definedName name="_4553_A">#REF!</definedName>
    <definedName name="_4554_">#REF!</definedName>
    <definedName name="_4554_A">#REF!</definedName>
    <definedName name="_4555_">#REF!</definedName>
    <definedName name="_4555_A">#REF!</definedName>
    <definedName name="_4561_">#REF!</definedName>
    <definedName name="_4561_A">#REF!</definedName>
    <definedName name="_4563_">#REF!</definedName>
    <definedName name="_4563_A">#REF!</definedName>
    <definedName name="_4565_">#REF!</definedName>
    <definedName name="_4565_A">#REF!</definedName>
    <definedName name="_4566_">#REF!</definedName>
    <definedName name="_4566_A">#REF!</definedName>
    <definedName name="_4569_">#REF!</definedName>
    <definedName name="_4569_A">#REF!</definedName>
    <definedName name="_4570_">#REF!</definedName>
    <definedName name="_4570_A">#REF!</definedName>
    <definedName name="_4572_">#REF!</definedName>
    <definedName name="_4572_A">#REF!</definedName>
    <definedName name="_4573_">#REF!</definedName>
    <definedName name="_4573_A">#REF!</definedName>
    <definedName name="_4574_">#REF!</definedName>
    <definedName name="_4574_A">#REF!</definedName>
    <definedName name="_4575_">#REF!</definedName>
    <definedName name="_4575_A">#REF!</definedName>
    <definedName name="_4576_">#REF!</definedName>
    <definedName name="_4576_A">#REF!</definedName>
    <definedName name="_4577_">#REF!</definedName>
    <definedName name="_4577_A">#REF!</definedName>
    <definedName name="_4578_">#REF!</definedName>
    <definedName name="_4578_A">#REF!</definedName>
    <definedName name="_4579_">#REF!</definedName>
    <definedName name="_4579_A">#REF!</definedName>
    <definedName name="_4580_">#REF!</definedName>
    <definedName name="_4580_A">#REF!</definedName>
    <definedName name="_4586_">#REF!</definedName>
    <definedName name="_4586_A">#REF!</definedName>
    <definedName name="_4587_">#REF!</definedName>
    <definedName name="_4587_A">#REF!</definedName>
    <definedName name="_4588_">#REF!</definedName>
    <definedName name="_4588_A">#REF!</definedName>
    <definedName name="_4589_">#REF!</definedName>
    <definedName name="_4589_A">#REF!</definedName>
    <definedName name="_4591_">#REF!</definedName>
    <definedName name="_4591_A">#REF!</definedName>
    <definedName name="_4592_">#REF!</definedName>
    <definedName name="_4592_A">#REF!</definedName>
    <definedName name="_4596_">#REF!</definedName>
    <definedName name="_4596_A">#REF!</definedName>
    <definedName name="_4599_">#REF!</definedName>
    <definedName name="_4599_A">#REF!</definedName>
    <definedName name="_46__123Graph_BCHART_29" hidden="1">#REF!</definedName>
    <definedName name="_4600_">#REF!</definedName>
    <definedName name="_4600_A">#REF!</definedName>
    <definedName name="_4602_">#REF!</definedName>
    <definedName name="_4602_A">#REF!</definedName>
    <definedName name="_4606_">#REF!</definedName>
    <definedName name="_4606_A">#REF!</definedName>
    <definedName name="_4607_">#REF!</definedName>
    <definedName name="_4607_A">#REF!</definedName>
    <definedName name="_4608_">#REF!</definedName>
    <definedName name="_4608_A">#REF!</definedName>
    <definedName name="_4610_">#REF!</definedName>
    <definedName name="_4610_A">#REF!</definedName>
    <definedName name="_4611_">#REF!</definedName>
    <definedName name="_4611_A">#REF!</definedName>
    <definedName name="_4612_">#REF!</definedName>
    <definedName name="_4612_A">#REF!</definedName>
    <definedName name="_4613_">#REF!</definedName>
    <definedName name="_4613_A">#REF!</definedName>
    <definedName name="_4614_">#REF!</definedName>
    <definedName name="_4614_A">#REF!</definedName>
    <definedName name="_4615_">#REF!</definedName>
    <definedName name="_4615_A">#REF!</definedName>
    <definedName name="_4617_">#REF!</definedName>
    <definedName name="_4617_A">#REF!</definedName>
    <definedName name="_4621_">#REF!</definedName>
    <definedName name="_4621_A">#REF!</definedName>
    <definedName name="_4625_">#REF!</definedName>
    <definedName name="_4625_A">#REF!</definedName>
    <definedName name="_4626_">#REF!</definedName>
    <definedName name="_4626_A">#REF!</definedName>
    <definedName name="_4627_">#REF!</definedName>
    <definedName name="_4627_A">#REF!</definedName>
    <definedName name="_4628_">#REF!</definedName>
    <definedName name="_4628_A">#REF!</definedName>
    <definedName name="_4629_">#REF!</definedName>
    <definedName name="_4629_A">#REF!</definedName>
    <definedName name="_4635_">#REF!</definedName>
    <definedName name="_4635_A">#REF!</definedName>
    <definedName name="_4636_">#REF!</definedName>
    <definedName name="_4636_A">#REF!</definedName>
    <definedName name="_4637_">#REF!</definedName>
    <definedName name="_4637_A">#REF!</definedName>
    <definedName name="_4638_">#REF!</definedName>
    <definedName name="_4638_A">#REF!</definedName>
    <definedName name="_4639_">#REF!</definedName>
    <definedName name="_4639_A">#REF!</definedName>
    <definedName name="_4641_">#REF!</definedName>
    <definedName name="_4641_A">#REF!</definedName>
    <definedName name="_47.IMP._ISOLA.">#REF!</definedName>
    <definedName name="_47__123Graph_BCHART_3" hidden="1">#REF!</definedName>
    <definedName name="_48__123Graph_BCHART_30" hidden="1">#REF!</definedName>
    <definedName name="_49__123Graph_BCHART_4" hidden="1">#REF!</definedName>
    <definedName name="_4RiskStatFunctionsUpdateFr_q">1</definedName>
    <definedName name="_5_" localSheetId="27">#REF!</definedName>
    <definedName name="_5_">#REF!</definedName>
    <definedName name="_5__123Graph_ACHART_13" hidden="1">#REF!</definedName>
    <definedName name="_5__123Graph_XCHART_1" hidden="1">#REF!</definedName>
    <definedName name="_5_A" localSheetId="27">#REF!</definedName>
    <definedName name="_5_A">#REF!</definedName>
    <definedName name="_50__123Graph_BCHART_5" hidden="1">#REF!</definedName>
    <definedName name="_51.REV.ARGAMAS" localSheetId="27">#REF!</definedName>
    <definedName name="_51.REV.ARGAMAS">#REF!</definedName>
    <definedName name="_51__123Graph_BCHART_6" hidden="1">#REF!</definedName>
    <definedName name="_52.REV.CERAM.I" localSheetId="27">#REF!</definedName>
    <definedName name="_52.REV.CERAM.I">#REF!</definedName>
    <definedName name="_52__123Graph_BCHART_7" hidden="1">#REF!</definedName>
    <definedName name="_53.REV.CERAM.E">#REF!</definedName>
    <definedName name="_53__123Graph_BCHART_8" hidden="1">#REF!</definedName>
    <definedName name="_54.TACOS_E_ASS">#REF!</definedName>
    <definedName name="_54__123Graph_BCHART_9" hidden="1">#REF!</definedName>
    <definedName name="_55.MARM._E_GRA">#REF!</definedName>
    <definedName name="_55__123Graph_CCHART_25" hidden="1">#REF!</definedName>
    <definedName name="_56.MARMORITE">#REF!</definedName>
    <definedName name="_56__123Graph_CCHART_26" hidden="1">#REF!</definedName>
    <definedName name="_57__123Graph_CCHART_27" hidden="1">#REF!</definedName>
    <definedName name="_58__123Graph_CCHART_28" hidden="1">#REF!</definedName>
    <definedName name="_59.OUTRS_REVES">#REF!</definedName>
    <definedName name="_59__123Graph_CCHART_29" hidden="1">#REF!</definedName>
    <definedName name="_6_">#REF!</definedName>
    <definedName name="_6__123Graph_ACHART_14" hidden="1">#REF!</definedName>
    <definedName name="_6__123Graph_BCHART_1" localSheetId="0" hidden="1">#REF!</definedName>
    <definedName name="_6__123Graph_BCHART_1" hidden="1">#REF!</definedName>
    <definedName name="_6_A" localSheetId="27">#REF!</definedName>
    <definedName name="_6_A">#REF!</definedName>
    <definedName name="_60_" localSheetId="27">#REF!</definedName>
    <definedName name="_60_">#REF!</definedName>
    <definedName name="_60__123Graph_CCHART_30" hidden="1">#REF!</definedName>
    <definedName name="_60_A" localSheetId="27">#REF!</definedName>
    <definedName name="_60_A">#REF!</definedName>
    <definedName name="_61.ESQUAD._MAD">#REF!</definedName>
    <definedName name="_61__123Graph_DCHART_25" hidden="1">#REF!</definedName>
    <definedName name="_62__123Graph_DCHART_26" hidden="1">#REF!</definedName>
    <definedName name="_63.ESQUAD._ALU">#REF!</definedName>
    <definedName name="_63__123Graph_DCHART_27" hidden="1">#REF!</definedName>
    <definedName name="_64__123Graph_DCHART_28" hidden="1">#REF!</definedName>
    <definedName name="_65.ESQUAD._FER">#REF!</definedName>
    <definedName name="_65__123Graph_DCHART_29" hidden="1">#REF!</definedName>
    <definedName name="_66__123Graph_DCHART_30" hidden="1">#REF!</definedName>
    <definedName name="_67.VIDROS">#REF!</definedName>
    <definedName name="_67__123Graph_XCHART_10" hidden="1">#REF!</definedName>
    <definedName name="_68__123Graph_XCHART_11" hidden="1">#REF!</definedName>
    <definedName name="_69__123Graph_XCHART_12" hidden="1">#REF!</definedName>
    <definedName name="_7_">#REF!</definedName>
    <definedName name="_7__123Graph_ACHART_15" hidden="1">#REF!</definedName>
    <definedName name="_7__123Graph_XCHART_1" hidden="1">#REF!</definedName>
    <definedName name="_7_A" localSheetId="27">#REF!</definedName>
    <definedName name="_7_A">#REF!</definedName>
    <definedName name="_70__123Graph_XCHART_13" hidden="1">#REF!</definedName>
    <definedName name="_71__123Graph_XCHART_14" hidden="1">#REF!</definedName>
    <definedName name="_71_73.I.ELET_H" localSheetId="27">#REF!</definedName>
    <definedName name="_71_73.I.ELET_H">#REF!</definedName>
    <definedName name="_72__123Graph_XCHART_15" hidden="1">#REF!</definedName>
    <definedName name="_73__123Graph_XCHART_16" hidden="1">#REF!</definedName>
    <definedName name="_74__123Graph_XCHART_2" hidden="1">#REF!</definedName>
    <definedName name="_75__123Graph_XCHART_3" hidden="1">#REF!</definedName>
    <definedName name="_76__123Graph_XCHART_4" hidden="1">#REF!</definedName>
    <definedName name="_77.OUTRAS_INST." localSheetId="27">#REF!</definedName>
    <definedName name="_77.OUTRAS_INST.">#REF!</definedName>
    <definedName name="_77__123Graph_XCHART_5" hidden="1">#REF!</definedName>
    <definedName name="_78.ELEVADORES">#REF!</definedName>
    <definedName name="_78__123Graph_XCHART_6" hidden="1">#REF!</definedName>
    <definedName name="_79__123Graph_XCHART_7" hidden="1">#REF!</definedName>
    <definedName name="_8_">#REF!</definedName>
    <definedName name="_8__123Graph_ACHART_16" hidden="1">#REF!</definedName>
    <definedName name="_8_A">#REF!</definedName>
    <definedName name="_80__123Graph_XCHART_8" hidden="1">#REF!</definedName>
    <definedName name="_81.APAR._SANIT">#REF!</definedName>
    <definedName name="_81__123Graph_XCHART_9" hidden="1">#REF!</definedName>
    <definedName name="_83_85.PINT_LIM">#REF!</definedName>
    <definedName name="_8RiskStatFunctionsUpdateFr_q">1</definedName>
    <definedName name="_9_" localSheetId="27">#REF!</definedName>
    <definedName name="_9_">#REF!</definedName>
    <definedName name="_9__123Graph_ACHART_17" hidden="1">#REF!</definedName>
    <definedName name="_9_A" localSheetId="27">#REF!</definedName>
    <definedName name="_9_A">#REF!</definedName>
    <definedName name="_A" localSheetId="27">#REF!</definedName>
    <definedName name="_A">#REF!</definedName>
    <definedName name="_as1" hidden="1">{"FCB_ALL",#N/A,FALSE,"FCB"}</definedName>
    <definedName name="_AS2" hidden="1">{"FCB_ALL",#N/A,FALSE,"FCB"}</definedName>
    <definedName name="_as3" hidden="1">{"FCB_ALL",#N/A,FALSE,"FCB"}</definedName>
    <definedName name="_AS4" hidden="1">{"FCB_ALL",#N/A,FALSE,"FCB"}</definedName>
    <definedName name="_as6" hidden="1">{"FCB_ALL",#N/A,FALSE,"FCB"}</definedName>
    <definedName name="_AS7" hidden="1">{"FCB_ALL",#N/A,FALSE,"FCB"}</definedName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c">"$'1998'.$#REF!$#REF!"</definedName>
    <definedName name="_c_4">"$'2001'.$#REF!$#REF!"</definedName>
    <definedName name="_c_5">"$'2000'.$#REF!$#REF!"</definedName>
    <definedName name="_c_6">"$'1999'.$#REF!$#REF!"</definedName>
    <definedName name="_D3" localSheetId="27">{0;0;0;0;1;#N/A;0.5;0.5;0.75;0.75;2;TRUE;TRUE;FALSE;FALSE;FALSE;#N/A;1;#N/A;1;1;"&amp;L&amp;7 RAMIBD05\GROUPS\EMG\DESOUSA\BRAZIL\MACHADIB\MODEL\MODEL_12.XLS -- &amp;D, &amp;T -- Page &amp;P of &amp;N
&amp;7";"&amp;L&amp;F&amp;A&amp;RPage&amp;P"}</definedName>
    <definedName name="_D3">{0;0;0;0;1;#N/A;0.5;0.5;0.75;0.75;2;TRUE;TRUE;FALSE;FALSE;FALSE;#N/A;1;#N/A;1;1;"&amp;L&amp;7 RAMIBD05\GROUPS\EMG\DESOUSA\BRAZIL\MACHADIB\MODEL\MODEL_12.XLS -- &amp;D, &amp;T -- Page &amp;P of &amp;N
&amp;7";"&amp;L&amp;F&amp;A&amp;RPage&amp;P"}</definedName>
    <definedName name="_D4" localSheetId="27">{0;0;0;0;1;#N/A;0.5;0.5;0.75;0.75;2;TRUE;TRUE;FALSE;FALSE;FALSE;#N/A;1;#N/A;1;1;"&amp;L&amp;7 RAMIBD05\GROUPS\EMG\DESOUSA\BRAZIL\MACHADIB\MODEL\MODEL_12.XLS -- &amp;D, &amp;T -- Page &amp;P of &amp;N
&amp;7";"&amp;L&amp;F&amp;A&amp;RPage&amp;P"}</definedName>
    <definedName name="_D4">{0;0;0;0;1;#N/A;0.5;0.5;0.75;0.75;2;TRUE;TRUE;FALSE;FALSE;FALSE;#N/A;1;#N/A;1;1;"&amp;L&amp;7 RAMIBD05\GROUPS\EMG\DESOUSA\BRAZIL\MACHADIB\MODEL\MODEL_12.XLS -- &amp;D, &amp;T -- Page &amp;P of &amp;N
&amp;7";"&amp;L&amp;F&amp;A&amp;RPage&amp;P"}</definedName>
    <definedName name="_D5" localSheetId="27">{0;0;0;0;1;#N/A;0.5;0.5;0.75;0.75;2;TRUE;TRUE;FALSE;FALSE;FALSE;#N/A;1;#N/A;1;1;"&amp;L&amp;7 RAMIBD05\GROUPS\EMG\DESOUSA\BRAZIL\MACHADIB\MODEL\MODEL_12.XLS -- &amp;D, &amp;T -- Page &amp;P of &amp;N
&amp;7";"&amp;L&amp;F&amp;A&amp;RPage&amp;P"}</definedName>
    <definedName name="_D5">{0;0;0;0;1;#N/A;0.5;0.5;0.75;0.75;2;TRUE;TRUE;FALSE;FALSE;FALSE;#N/A;1;#N/A;1;1;"&amp;L&amp;7 RAMIBD05\GROUPS\EMG\DESOUSA\BRAZIL\MACHADIB\MODEL\MODEL_12.XLS -- &amp;D, &amp;T -- Page &amp;P of &amp;N
&amp;7";"&amp;L&amp;F&amp;A&amp;RPage&amp;P"}</definedName>
    <definedName name="_D6" localSheetId="27">{0;0;0;0;9;#N/A;0.75;0.75;1;1;1;FALSE;FALSE;FALSE;FALSE;FALSE;#N/A;1;100;#N/A;#N/A;"&amp;A";"Page &amp;P"}</definedName>
    <definedName name="_D6">{0;0;0;0;9;#N/A;0.75;0.75;1;1;1;FALSE;FALSE;FALSE;FALSE;FALSE;#N/A;1;100;#N/A;#N/A;"&amp;A";"Page &amp;P"}</definedName>
    <definedName name="_D7" localSheetId="27">{0;0;0;0;9;#N/A;0.75;0.75;1;1;1;FALSE;FALSE;FALSE;FALSE;FALSE;#N/A;1;100;#N/A;#N/A;"&amp;A";"Page &amp;P"}</definedName>
    <definedName name="_D7">{0;0;0;0;9;#N/A;0.75;0.75;1;1;1;FALSE;FALSE;FALSE;FALSE;FALSE;#N/A;1;100;#N/A;#N/A;"&amp;A";"Page &amp;P"}</definedName>
    <definedName name="_D8" localSheetId="27">{0;0;0;0;9;#N/A;0.75;0.75;1;1;1;FALSE;FALSE;FALSE;FALSE;FALSE;#N/A;1;100;#N/A;#N/A;"&amp;A";"Page &amp;P"}</definedName>
    <definedName name="_D8">{0;0;0;0;9;#N/A;0.75;0.75;1;1;1;FALSE;FALSE;FALSE;FALSE;FALSE;#N/A;1;100;#N/A;#N/A;"&amp;A";"Page &amp;P"}</definedName>
    <definedName name="_DAT1" localSheetId="27">#REF!</definedName>
    <definedName name="_DAT1">#REF!</definedName>
    <definedName name="_DAT10" localSheetId="27">#REF!</definedName>
    <definedName name="_DAT10">#REF!</definedName>
    <definedName name="_DAT11">#REF!</definedName>
    <definedName name="_DAT12">#REF!</definedName>
    <definedName name="_DAT13">#REF!</definedName>
    <definedName name="_DAT14">#REF!</definedName>
    <definedName name="_DAT15">#REF!</definedName>
    <definedName name="_DAT16">#REF!</definedName>
    <definedName name="_DAT17">#REF!</definedName>
    <definedName name="_DAT18">#REF!</definedName>
    <definedName name="_DAT19">#REF!</definedName>
    <definedName name="_DAT2">#REF!</definedName>
    <definedName name="_DAT20">#REF!</definedName>
    <definedName name="_DAT3">#REF!</definedName>
    <definedName name="_DAT4">#REF!</definedName>
    <definedName name="_DAT5">#REF!</definedName>
    <definedName name="_DAT6">#REF!</definedName>
    <definedName name="_DAT7">#REF!</definedName>
    <definedName name="_DAT8">#REF!</definedName>
    <definedName name="_DAT9">#REF!</definedName>
    <definedName name="_Fill" localSheetId="0" hidden="1">#REF!</definedName>
    <definedName name="_Fill" hidden="1">#REF!</definedName>
    <definedName name="_xlnm._FilterDatabase" localSheetId="21" hidden="1">'Postergações VI e RE'!$B$28:$BR$28</definedName>
    <definedName name="_xlnm._FilterDatabase" localSheetId="6" hidden="1">QDD!$B$1:$B$72</definedName>
    <definedName name="_GSRATES_1" hidden="1">"CT300001Latest          "</definedName>
    <definedName name="_GSRATES_10" hidden="1">"CF3000012003033120030101"</definedName>
    <definedName name="_GSRATES_2" hidden="1">"CF300001Invalid 20010101"</definedName>
    <definedName name="_GSRATES_3" hidden="1">"CF300006Invalid 20010630"</definedName>
    <definedName name="_GSRATES_4" hidden="1">"CF3000012002063020010630"</definedName>
    <definedName name="_GSRATES_5" hidden="1">"CF30000920020930        "</definedName>
    <definedName name="_GSRATES_6" hidden="1">"CF30000920010930        "</definedName>
    <definedName name="_GSRATES_7" hidden="1">"CF50000120020930        "</definedName>
    <definedName name="_GSRATES_8" hidden="1">"CT30000120020930        "</definedName>
    <definedName name="_GSRATES_9" hidden="1">"CF5000012003033120020101"</definedName>
    <definedName name="_GSRATES_COUNT" hidden="1">10</definedName>
    <definedName name="_INV12" localSheetId="27">#REF!</definedName>
    <definedName name="_INV12">#REF!</definedName>
    <definedName name="_INV13" localSheetId="27">#REF!</definedName>
    <definedName name="_INV13">#REF!</definedName>
    <definedName name="_inv2">#REF!</definedName>
    <definedName name="_j" localSheetId="27" hidden="1">#REF!</definedName>
    <definedName name="_j" localSheetId="0" hidden="1">#REF!</definedName>
    <definedName name="_j" hidden="1">#REF!</definedName>
    <definedName name="_Key1" localSheetId="27" hidden="1">#REF!</definedName>
    <definedName name="_Key1" localSheetId="0" hidden="1">#REF!</definedName>
    <definedName name="_Key1" hidden="1">#REF!</definedName>
    <definedName name="_Key2" hidden="1">#REF!</definedName>
    <definedName name="_la29" localSheetId="27" hidden="1">#REF!</definedName>
    <definedName name="_la29" localSheetId="0" hidden="1">#REF!</definedName>
    <definedName name="_la29" hidden="1">#REF!</definedName>
    <definedName name="_la3" localSheetId="27" hidden="1">#REF!</definedName>
    <definedName name="_la3" localSheetId="0" hidden="1">#REF!</definedName>
    <definedName name="_la3" hidden="1">#REF!</definedName>
    <definedName name="_la31" localSheetId="27" hidden="1">#REF!</definedName>
    <definedName name="_la31" localSheetId="0" hidden="1">#REF!</definedName>
    <definedName name="_la31" hidden="1">#REF!</definedName>
    <definedName name="_la32" localSheetId="0" hidden="1">#REF!</definedName>
    <definedName name="_la32" hidden="1">#REF!</definedName>
    <definedName name="_la4" localSheetId="0" hidden="1">#REF!</definedName>
    <definedName name="_la4" hidden="1">#REF!</definedName>
    <definedName name="_la5" localSheetId="0" hidden="1">#REF!</definedName>
    <definedName name="_la5" hidden="1">#REF!</definedName>
    <definedName name="_la6" localSheetId="0" hidden="1">#REF!</definedName>
    <definedName name="_la6" hidden="1">#REF!</definedName>
    <definedName name="_la7" localSheetId="0" hidden="1">#REF!</definedName>
    <definedName name="_la7" hidden="1">#REF!</definedName>
    <definedName name="_la8" localSheetId="0" hidden="1">#REF!</definedName>
    <definedName name="_la8" hidden="1">#REF!</definedName>
    <definedName name="_la9" localSheetId="0" hidden="1">#REF!</definedName>
    <definedName name="_la9" hidden="1">#REF!</definedName>
    <definedName name="_lb1" localSheetId="0" hidden="1">#REF!</definedName>
    <definedName name="_lb1" hidden="1">#REF!</definedName>
    <definedName name="_lb10" localSheetId="0" hidden="1">#REF!</definedName>
    <definedName name="_lb10" hidden="1">#REF!</definedName>
    <definedName name="_lb11" localSheetId="0" hidden="1">#REF!</definedName>
    <definedName name="_lb11" hidden="1">#REF!</definedName>
    <definedName name="_lb12" localSheetId="0" hidden="1">#REF!</definedName>
    <definedName name="_lb12" hidden="1">#REF!</definedName>
    <definedName name="_lb13" localSheetId="0" hidden="1">#REF!</definedName>
    <definedName name="_lb13" hidden="1">#REF!</definedName>
    <definedName name="_lb14" localSheetId="0" hidden="1">#REF!</definedName>
    <definedName name="_lb14" hidden="1">#REF!</definedName>
    <definedName name="_lb15" localSheetId="0" hidden="1">#REF!</definedName>
    <definedName name="_lb15" hidden="1">#REF!</definedName>
    <definedName name="_lb16" localSheetId="0" hidden="1">#REF!</definedName>
    <definedName name="_lb16" hidden="1">#REF!</definedName>
    <definedName name="_lb17" localSheetId="0" hidden="1">#REF!</definedName>
    <definedName name="_lb17" hidden="1">#REF!</definedName>
    <definedName name="_lb18" localSheetId="0" hidden="1">#REF!</definedName>
    <definedName name="_lb18" hidden="1">#REF!</definedName>
    <definedName name="_lb19" localSheetId="0" hidden="1">#REF!</definedName>
    <definedName name="_lb19" hidden="1">#REF!</definedName>
    <definedName name="_lb2" localSheetId="0" hidden="1">#REF!</definedName>
    <definedName name="_lb2" hidden="1">#REF!</definedName>
    <definedName name="_lb20" localSheetId="0" hidden="1">#REF!</definedName>
    <definedName name="_lb20" hidden="1">#REF!</definedName>
    <definedName name="_lb21" localSheetId="0" hidden="1">#REF!</definedName>
    <definedName name="_lb21" hidden="1">#REF!</definedName>
    <definedName name="_lb22" localSheetId="0" hidden="1">#REF!</definedName>
    <definedName name="_lb22" hidden="1">#REF!</definedName>
    <definedName name="_lb23" localSheetId="0" hidden="1">#REF!</definedName>
    <definedName name="_lb23" hidden="1">#REF!</definedName>
    <definedName name="_lb24" localSheetId="0" hidden="1">#REF!</definedName>
    <definedName name="_lb24" hidden="1">#REF!</definedName>
    <definedName name="_lb25" localSheetId="0" hidden="1">#REF!</definedName>
    <definedName name="_lb25" hidden="1">#REF!</definedName>
    <definedName name="_lb27" localSheetId="0" hidden="1">#REF!</definedName>
    <definedName name="_lb27" hidden="1">#REF!</definedName>
    <definedName name="_lb28" localSheetId="0" hidden="1">#REF!</definedName>
    <definedName name="_lb28" hidden="1">#REF!</definedName>
    <definedName name="_lb29" localSheetId="0" hidden="1">#REF!</definedName>
    <definedName name="_lb29" hidden="1">#REF!</definedName>
    <definedName name="_lb3" localSheetId="0" hidden="1">#REF!</definedName>
    <definedName name="_lb3" hidden="1">#REF!</definedName>
    <definedName name="_lb30" localSheetId="0" hidden="1">#REF!</definedName>
    <definedName name="_lb30" hidden="1">#REF!</definedName>
    <definedName name="_lb31" localSheetId="0" hidden="1">#REF!</definedName>
    <definedName name="_lb31" hidden="1">#REF!</definedName>
    <definedName name="_lb32" localSheetId="0" hidden="1">#REF!</definedName>
    <definedName name="_lb32" hidden="1">#REF!</definedName>
    <definedName name="_lb4" localSheetId="0" hidden="1">#REF!</definedName>
    <definedName name="_lb4" hidden="1">#REF!</definedName>
    <definedName name="_lb5" localSheetId="0" hidden="1">#REF!</definedName>
    <definedName name="_lb5" hidden="1">#REF!</definedName>
    <definedName name="_lb6" localSheetId="0" hidden="1">#REF!</definedName>
    <definedName name="_lb6" hidden="1">#REF!</definedName>
    <definedName name="_lb7" localSheetId="0" hidden="1">#REF!</definedName>
    <definedName name="_lb7" hidden="1">#REF!</definedName>
    <definedName name="_lb8" localSheetId="0" hidden="1">#REF!</definedName>
    <definedName name="_lb8" hidden="1">#REF!</definedName>
    <definedName name="_lb9" localSheetId="0" hidden="1">#REF!</definedName>
    <definedName name="_lb9" hidden="1">#REF!</definedName>
    <definedName name="_lbc1" localSheetId="0" hidden="1">#REF!</definedName>
    <definedName name="_lbc1" hidden="1">#REF!</definedName>
    <definedName name="_lbc10" localSheetId="0" hidden="1">#REF!</definedName>
    <definedName name="_lbc10" hidden="1">#REF!</definedName>
    <definedName name="_lbc11" localSheetId="0" hidden="1">#REF!</definedName>
    <definedName name="_lbc11" hidden="1">#REF!</definedName>
    <definedName name="_lbc12" localSheetId="0" hidden="1">#REF!</definedName>
    <definedName name="_lbc12" hidden="1">#REF!</definedName>
    <definedName name="_lbc13" localSheetId="0" hidden="1">#REF!</definedName>
    <definedName name="_lbc13" hidden="1">#REF!</definedName>
    <definedName name="_lbc14" localSheetId="0" hidden="1">#REF!</definedName>
    <definedName name="_lbc14" hidden="1">#REF!</definedName>
    <definedName name="_lbc15" localSheetId="0" hidden="1">#REF!</definedName>
    <definedName name="_lbc15" hidden="1">#REF!</definedName>
    <definedName name="_lbc16" localSheetId="0" hidden="1">#REF!</definedName>
    <definedName name="_lbc16" hidden="1">#REF!</definedName>
    <definedName name="_lbc17" localSheetId="0" hidden="1">#REF!</definedName>
    <definedName name="_lbc17" hidden="1">#REF!</definedName>
    <definedName name="_lbc18" localSheetId="0" hidden="1">#REF!</definedName>
    <definedName name="_lbc18" hidden="1">#REF!</definedName>
    <definedName name="_lbc19" localSheetId="0" hidden="1">#REF!</definedName>
    <definedName name="_lbc19" hidden="1">#REF!</definedName>
    <definedName name="_lbc2" localSheetId="0" hidden="1">#REF!</definedName>
    <definedName name="_lbc2" hidden="1">#REF!</definedName>
    <definedName name="_lbc20" localSheetId="0" hidden="1">#REF!</definedName>
    <definedName name="_lbc20" hidden="1">#REF!</definedName>
    <definedName name="_lbc21" localSheetId="0" hidden="1">#REF!</definedName>
    <definedName name="_lbc21" hidden="1">#REF!</definedName>
    <definedName name="_lbc22" localSheetId="0" hidden="1">#REF!</definedName>
    <definedName name="_lbc22" hidden="1">#REF!</definedName>
    <definedName name="_lbc23" localSheetId="0" hidden="1">#REF!</definedName>
    <definedName name="_lbc23" hidden="1">#REF!</definedName>
    <definedName name="_lbc24" localSheetId="0" hidden="1">#REF!</definedName>
    <definedName name="_lbc24" hidden="1">#REF!</definedName>
    <definedName name="_lbc25" localSheetId="0" hidden="1">#REF!</definedName>
    <definedName name="_lbc25" hidden="1">#REF!</definedName>
    <definedName name="_lbc26" localSheetId="0" hidden="1">#REF!</definedName>
    <definedName name="_lbc26" hidden="1">#REF!</definedName>
    <definedName name="_lbc27" localSheetId="0" hidden="1">#REF!</definedName>
    <definedName name="_lbc27" hidden="1">#REF!</definedName>
    <definedName name="_lbc28" localSheetId="0" hidden="1">#REF!</definedName>
    <definedName name="_lbc28" hidden="1">#REF!</definedName>
    <definedName name="_lbc29" localSheetId="0" hidden="1">#REF!</definedName>
    <definedName name="_lbc29" hidden="1">#REF!</definedName>
    <definedName name="_lbc3" localSheetId="0" hidden="1">#REF!</definedName>
    <definedName name="_lbc3" hidden="1">#REF!</definedName>
    <definedName name="_lbc31" localSheetId="0" hidden="1">#REF!</definedName>
    <definedName name="_lbc31" hidden="1">#REF!</definedName>
    <definedName name="_lbc32" localSheetId="0" hidden="1">#REF!</definedName>
    <definedName name="_lbc32" hidden="1">#REF!</definedName>
    <definedName name="_lbc4" localSheetId="0" hidden="1">#REF!</definedName>
    <definedName name="_lbc4" hidden="1">#REF!</definedName>
    <definedName name="_lbc5" localSheetId="0" hidden="1">#REF!</definedName>
    <definedName name="_lbc5" hidden="1">#REF!</definedName>
    <definedName name="_lbc6" localSheetId="0" hidden="1">#REF!</definedName>
    <definedName name="_lbc6" hidden="1">#REF!</definedName>
    <definedName name="_lbc7" localSheetId="0" hidden="1">#REF!</definedName>
    <definedName name="_lbc7" hidden="1">#REF!</definedName>
    <definedName name="_lbc8" localSheetId="0" hidden="1">#REF!</definedName>
    <definedName name="_lbc8" hidden="1">#REF!</definedName>
    <definedName name="_lbc9" localSheetId="0" hidden="1">#REF!</definedName>
    <definedName name="_lbc9" hidden="1">#REF!</definedName>
    <definedName name="_ld26" localSheetId="0" hidden="1">#REF!</definedName>
    <definedName name="_ld26" hidden="1">#REF!</definedName>
    <definedName name="_ld31" localSheetId="0" hidden="1">#REF!</definedName>
    <definedName name="_ld31" hidden="1">#REF!</definedName>
    <definedName name="_le31" localSheetId="0" hidden="1">#REF!</definedName>
    <definedName name="_le31" hidden="1">#REF!</definedName>
    <definedName name="_lf31" localSheetId="0" hidden="1">#REF!</definedName>
    <definedName name="_lf31" hidden="1">#REF!</definedName>
    <definedName name="_MAT3865">#REF!</definedName>
    <definedName name="_ngjasf" localSheetId="0" hidden="1">#REF!</definedName>
    <definedName name="_ngjasf" hidden="1">#REF!</definedName>
    <definedName name="_oae1">#REF!</definedName>
    <definedName name="_Orc2000">#REF!</definedName>
    <definedName name="_Order1" hidden="1">255</definedName>
    <definedName name="_Order2" hidden="1">255</definedName>
    <definedName name="_P00Balance" localSheetId="27">#REF!</definedName>
    <definedName name="_P00Balance">#REF!</definedName>
    <definedName name="_P00Cash" localSheetId="27">#REF!</definedName>
    <definedName name="_P00Cash">#REF!</definedName>
    <definedName name="_P00Debt" localSheetId="27">#REF!</definedName>
    <definedName name="_P00Debt">#REF!</definedName>
    <definedName name="_P00debt1">#REF!</definedName>
    <definedName name="_P00debt2">#REF!</definedName>
    <definedName name="_P00Deprec.">#REF!</definedName>
    <definedName name="_pav1">#REF!</definedName>
    <definedName name="_premissaDesap">#REF!</definedName>
    <definedName name="_premissaDesconto">#REF!</definedName>
    <definedName name="_premissaFinanciavel">#REF!</definedName>
    <definedName name="_premissaManutencao">#REF!</definedName>
    <definedName name="_premissaManutencaoCAPEX">#REF!</definedName>
    <definedName name="_premissaReeq">#REF!</definedName>
    <definedName name="_premissaSUDENE">#REF!</definedName>
    <definedName name="_premissaTarifaExtra">#REF!</definedName>
    <definedName name="_qe1" localSheetId="27">{0;0;0;0;1;#N/A;0.5;0.5;0.75;0.75;2;TRUE;TRUE;FALSE;FALSE;FALSE;#N/A;1;#N/A;1;1;"&amp;L&amp;7 RAMIBD05\GROUPS\EMG\DESOUSA\BRAZIL\MACHADIB\MODEL\MODEL_12.XLS -- &amp;D, &amp;T -- Page &amp;P of &amp;N
&amp;7";"&amp;L&amp;F&amp;A&amp;RPage&amp;P"}</definedName>
    <definedName name="_qe1">{0;0;0;0;1;#N/A;0.5;0.5;0.75;0.75;2;TRUE;TRUE;FALSE;FALSE;FALSE;#N/A;1;#N/A;1;1;"&amp;L&amp;7 RAMIBD05\GROUPS\EMG\DESOUSA\BRAZIL\MACHADIB\MODEL\MODEL_12.XLS -- &amp;D, &amp;T -- Page &amp;P of &amp;N
&amp;7";"&amp;L&amp;F&amp;A&amp;RPage&amp;P"}</definedName>
    <definedName name="_qe10" localSheetId="27">{0;0;0;0;1;#N/A;0.5;0.5;0.75;0.75;2;TRUE;TRUE;FALSE;FALSE;FALSE;#N/A;1;#N/A;1;1;"&amp;L&amp;7 RAMIBD05\GROUPS\EMG\DESOUSA\BRAZIL\MACHADIB\MODEL\MODEL_12.XLS -- &amp;D, &amp;T -- Page &amp;P of &amp;N
&amp;7";"&amp;L&amp;F&amp;A&amp;RPage&amp;P"}</definedName>
    <definedName name="_qe10">{0;0;0;0;1;#N/A;0.5;0.5;0.75;0.75;2;TRUE;TRUE;FALSE;FALSE;FALSE;#N/A;1;#N/A;1;1;"&amp;L&amp;7 RAMIBD05\GROUPS\EMG\DESOUSA\BRAZIL\MACHADIB\MODEL\MODEL_12.XLS -- &amp;D, &amp;T -- Page &amp;P of &amp;N
&amp;7";"&amp;L&amp;F&amp;A&amp;RPage&amp;P"}</definedName>
    <definedName name="_qe11" localSheetId="27">{0;0;0;0;9;#N/A;0.75;0.75;1;1;1;FALSE;FALSE;FALSE;FALSE;FALSE;#N/A;1;100;#N/A;#N/A;"&amp;A";"Page &amp;P"}</definedName>
    <definedName name="_qe11">{0;0;0;0;9;#N/A;0.75;0.75;1;1;1;FALSE;FALSE;FALSE;FALSE;FALSE;#N/A;1;100;#N/A;#N/A;"&amp;A";"Page &amp;P"}</definedName>
    <definedName name="_qe2" localSheetId="27">{0;0;0;0;1;#N/A;0.5;0.5;0.75;0.75;2;TRUE;TRUE;FALSE;FALSE;FALSE;#N/A;1;#N/A;1;1;"&amp;L&amp;7 RAMIBD05\GROUPS\EMG\DESOUSA\BRAZIL\MACHADIB\MODEL\MODEL_12.XLS -- &amp;D, &amp;T -- Page &amp;P of &amp;N
&amp;7";"&amp;L&amp;F&amp;A&amp;RPage&amp;P"}</definedName>
    <definedName name="_qe2">{0;0;0;0;1;#N/A;0.5;0.5;0.75;0.75;2;TRUE;TRUE;FALSE;FALSE;FALSE;#N/A;1;#N/A;1;1;"&amp;L&amp;7 RAMIBD05\GROUPS\EMG\DESOUSA\BRAZIL\MACHADIB\MODEL\MODEL_12.XLS -- &amp;D, &amp;T -- Page &amp;P of &amp;N
&amp;7";"&amp;L&amp;F&amp;A&amp;RPage&amp;P"}</definedName>
    <definedName name="_qe3" localSheetId="27">{0;0;0;0;1;#N/A;0.5;0.5;0.75;0.75;2;TRUE;TRUE;FALSE;FALSE;FALSE;#N/A;1;#N/A;1;1;"&amp;L&amp;7 RAMIBD05\GROUPS\EMG\DESOUSA\BRAZIL\MACHADIB\MODEL\MODEL_12.XLS -- &amp;D, &amp;T -- Page &amp;P of &amp;N
&amp;7";"&amp;L&amp;F&amp;A&amp;RPage&amp;P"}</definedName>
    <definedName name="_qe3">{0;0;0;0;1;#N/A;0.5;0.5;0.75;0.75;2;TRUE;TRUE;FALSE;FALSE;FALSE;#N/A;1;#N/A;1;1;"&amp;L&amp;7 RAMIBD05\GROUPS\EMG\DESOUSA\BRAZIL\MACHADIB\MODEL\MODEL_12.XLS -- &amp;D, &amp;T -- Page &amp;P of &amp;N
&amp;7";"&amp;L&amp;F&amp;A&amp;RPage&amp;P"}</definedName>
    <definedName name="_qe4" localSheetId="27">{0;0;0;0;9;#N/A;0.75;0.75;1;1;1;FALSE;FALSE;FALSE;FALSE;FALSE;#N/A;1;100;#N/A;#N/A;"&amp;A";"Page &amp;P"}</definedName>
    <definedName name="_qe4">{0;0;0;0;9;#N/A;0.75;0.75;1;1;1;FALSE;FALSE;FALSE;FALSE;FALSE;#N/A;1;100;#N/A;#N/A;"&amp;A";"Page &amp;P"}</definedName>
    <definedName name="_qe5" localSheetId="27">{0;0;0;0;9;#N/A;0.75;0.75;1;1;1;FALSE;FALSE;FALSE;FALSE;FALSE;#N/A;1;100;#N/A;#N/A;"&amp;A";"Page &amp;P"}</definedName>
    <definedName name="_qe5">{0;0;0;0;9;#N/A;0.75;0.75;1;1;1;FALSE;FALSE;FALSE;FALSE;FALSE;#N/A;1;100;#N/A;#N/A;"&amp;A";"Page &amp;P"}</definedName>
    <definedName name="_qe6" localSheetId="27">{0;0;0;0;9;#N/A;0.75;0.75;1;1;1;FALSE;FALSE;FALSE;FALSE;FALSE;#N/A;1;100;#N/A;#N/A;"&amp;A";"Page &amp;P"}</definedName>
    <definedName name="_qe6">{0;0;0;0;9;#N/A;0.75;0.75;1;1;1;FALSE;FALSE;FALSE;FALSE;FALSE;#N/A;1;100;#N/A;#N/A;"&amp;A";"Page &amp;P"}</definedName>
    <definedName name="_qe7" localSheetId="27">{0;0;0;0;1;#N/A;0.5;0.5;0.75;0.75;2;TRUE;TRUE;FALSE;FALSE;FALSE;#N/A;1;56;#N/A;#N/A;"&amp;L&amp;7 RAMIBD05\GROUPS\EMG\DESOUSA\BRAZIL\MACHADIB\MODEL\MODEL_20.XLS -- &amp;D, &amp;T -- Page 7 of 9
Machadinho Project
&amp;R&amp;""Arial,Italic""Confidential";"&amp;L&amp;F&amp;A&amp;RPage 7"}</definedName>
    <definedName name="_qe7">{0;0;0;0;1;#N/A;0.5;0.5;0.75;0.75;2;TRUE;TRUE;FALSE;FALSE;FALSE;#N/A;1;56;#N/A;#N/A;"&amp;L&amp;7 RAMIBD05\GROUPS\EMG\DESOUSA\BRAZIL\MACHADIB\MODEL\MODEL_20.XLS -- &amp;D, &amp;T -- Page 7 of 9
Machadinho Project
&amp;R&amp;""Arial,Italic""Confidential";"&amp;L&amp;F&amp;A&amp;RPage 7"}</definedName>
    <definedName name="_qe8" localSheetId="27">{0;0;0;0;1;#N/A;0.5;0.5;0.75;0.75;2;TRUE;TRUE;FALSE;FALSE;FALSE;#N/A;1;56;#N/A;#N/A;"&amp;L&amp;7 RAMIBD05\GROUPS\EMG\DESOUSA\BRAZIL\MACHADIB\MODEL\MODEL_20.XLS -- &amp;D, &amp;T -- Page 8 of 9
Machadinho Project
&amp;R&amp;""Arial,Italic""Confidential";"&amp;L&amp;F&amp;A&amp;RPage 8"}</definedName>
    <definedName name="_qe8">{0;0;0;0;1;#N/A;0.5;0.5;0.75;0.75;2;TRUE;TRUE;FALSE;FALSE;FALSE;#N/A;1;56;#N/A;#N/A;"&amp;L&amp;7 RAMIBD05\GROUPS\EMG\DESOUSA\BRAZIL\MACHADIB\MODEL\MODEL_20.XLS -- &amp;D, &amp;T -- Page 8 of 9
Machadinho Project
&amp;R&amp;""Arial,Italic""Confidential";"&amp;L&amp;F&amp;A&amp;RPage 8"}</definedName>
    <definedName name="_qe9" localSheetId="27">{0;0;0;0;258;#N/A;0.75;0.75;1;1;2;FALSE;FALSE;FALSE;FALSE;FALSE;#N/A;1;#N/A;1;1;"&amp;A";"Page &amp;P"}</definedName>
    <definedName name="_qe9">{0;0;0;0;258;#N/A;0.75;0.75;1;1;2;FALSE;FALSE;FALSE;FALSE;FALSE;#N/A;1;#N/A;1;1;"&amp;A";"Page &amp;P"}</definedName>
    <definedName name="_qw1" localSheetId="27">{0;0;0;0;1;#N/A;0.5;0.5;0.75;0.75;2;TRUE;TRUE;FALSE;FALSE;FALSE;#N/A;1;#N/A;1;1;"&amp;L&amp;7 RAMIBD05\GROUPS\EMG\DESOUSA\BRAZIL\MACHADIB\MODEL\MODEL_12.XLS -- &amp;D, &amp;T -- Page &amp;P of &amp;N
&amp;7";"&amp;L&amp;F&amp;A&amp;RPage&amp;P"}</definedName>
    <definedName name="_qw1">{0;0;0;0;1;#N/A;0.5;0.5;0.75;0.75;2;TRUE;TRUE;FALSE;FALSE;FALSE;#N/A;1;#N/A;1;1;"&amp;L&amp;7 RAMIBD05\GROUPS\EMG\DESOUSA\BRAZIL\MACHADIB\MODEL\MODEL_12.XLS -- &amp;D, &amp;T -- Page &amp;P of &amp;N
&amp;7";"&amp;L&amp;F&amp;A&amp;RPage&amp;P"}</definedName>
    <definedName name="_qw2" localSheetId="27">{0;0;0;0;1;#N/A;0.5;0.5;0.75;0.75;2;TRUE;TRUE;FALSE;FALSE;FALSE;#N/A;1;#N/A;1;1;"&amp;L&amp;7 RAMIBD05\GROUPS\EMG\DESOUSA\BRAZIL\MACHADIB\MODEL\MODEL_12.XLS -- &amp;D, &amp;T -- Page &amp;P of &amp;N
&amp;7";"&amp;L&amp;F&amp;A&amp;RPage&amp;P"}</definedName>
    <definedName name="_qw2">{0;0;0;0;1;#N/A;0.5;0.5;0.75;0.75;2;TRUE;TRUE;FALSE;FALSE;FALSE;#N/A;1;#N/A;1;1;"&amp;L&amp;7 RAMIBD05\GROUPS\EMG\DESOUSA\BRAZIL\MACHADIB\MODEL\MODEL_12.XLS -- &amp;D, &amp;T -- Page &amp;P of &amp;N
&amp;7";"&amp;L&amp;F&amp;A&amp;RPage&amp;P"}</definedName>
    <definedName name="_qw3" localSheetId="27">{0;0;0;0;1;#N/A;0.5;0.5;0.75;0.75;2;TRUE;TRUE;FALSE;FALSE;FALSE;#N/A;1;#N/A;1;1;"&amp;L&amp;7 RAMIBD05\GROUPS\EMG\DESOUSA\BRAZIL\MACHADIB\MODEL\MODEL_12.XLS -- &amp;D, &amp;T -- Page &amp;P of &amp;N
&amp;7";"&amp;L&amp;F&amp;A&amp;RPage&amp;P"}</definedName>
    <definedName name="_qw3">{0;0;0;0;1;#N/A;0.5;0.5;0.75;0.75;2;TRUE;TRUE;FALSE;FALSE;FALSE;#N/A;1;#N/A;1;1;"&amp;L&amp;7 RAMIBD05\GROUPS\EMG\DESOUSA\BRAZIL\MACHADIB\MODEL\MODEL_12.XLS -- &amp;D, &amp;T -- Page &amp;P of &amp;N
&amp;7";"&amp;L&amp;F&amp;A&amp;RPage&amp;P"}</definedName>
    <definedName name="_r">#N/A</definedName>
    <definedName name="_RC" localSheetId="27">#REF!</definedName>
    <definedName name="_RC">#REF!</definedName>
    <definedName name="_Regression_Out" hidden="1">#REF!</definedName>
    <definedName name="_Regression_Out1" hidden="1">#REF!</definedName>
    <definedName name="_Regression_X" hidden="1">#REF!</definedName>
    <definedName name="_Regression_Y" hidden="1">#REF!</definedName>
    <definedName name="_Report">0</definedName>
    <definedName name="_RES1">#N/A</definedName>
    <definedName name="_res9600" localSheetId="27">#REF!</definedName>
    <definedName name="_res9600">#REF!</definedName>
    <definedName name="_reS9699" localSheetId="27">#REF!</definedName>
    <definedName name="_reS9699">#REF!</definedName>
    <definedName name="_Res99" localSheetId="27">#REF!</definedName>
    <definedName name="_Res99">#REF!</definedName>
    <definedName name="_Sort" localSheetId="0" hidden="1">#REF!</definedName>
    <definedName name="_Sort" hidden="1">#REF!</definedName>
    <definedName name="_Table1_In1" localSheetId="0" hidden="1">#REF!</definedName>
    <definedName name="_Table1_In1" hidden="1">#REF!</definedName>
    <definedName name="_Table1_Out" localSheetId="0" hidden="1">#REF!</definedName>
    <definedName name="_Table1_Out" hidden="1">#REF!</definedName>
    <definedName name="_Table2_In1" hidden="1">#REF!</definedName>
    <definedName name="_Table2_In2" hidden="1">#REF!</definedName>
    <definedName name="_Table2_Out" hidden="1">#REF!</definedName>
    <definedName name="_Table3_In2" hidden="1">#REF!</definedName>
    <definedName name="_ter1">#REF!</definedName>
    <definedName name="_wq1" localSheetId="27">{0;0;0;0;1;#N/A;0.5;0.5;0.75;0.75;2;TRUE;TRUE;FALSE;FALSE;FALSE;#N/A;1;#N/A;1;1;"&amp;L&amp;7 RAMIBD05\GROUPS\EMG\DESOUSA\BRAZIL\MACHADIB\MODEL\MODEL_12.XLS -- &amp;D, &amp;T -- Page &amp;P of &amp;N
&amp;7";"&amp;L&amp;F&amp;A&amp;RPage&amp;P"}</definedName>
    <definedName name="_wq1">{0;0;0;0;1;#N/A;0.5;0.5;0.75;0.75;2;TRUE;TRUE;FALSE;FALSE;FALSE;#N/A;1;#N/A;1;1;"&amp;L&amp;7 RAMIBD05\GROUPS\EMG\DESOUSA\BRAZIL\MACHADIB\MODEL\MODEL_12.XLS -- &amp;D, &amp;T -- Page &amp;P of &amp;N
&amp;7";"&amp;L&amp;F&amp;A&amp;RPage&amp;P"}</definedName>
    <definedName name="_wq10" localSheetId="27">{0;0;0;0;258;#N/A;0.75;0.75;1;1;2;FALSE;FALSE;FALSE;FALSE;FALSE;#N/A;1;#N/A;1;1;"&amp;A";"Page &amp;P"}</definedName>
    <definedName name="_wq10">{0;0;0;0;258;#N/A;0.75;0.75;1;1;2;FALSE;FALSE;FALSE;FALSE;FALSE;#N/A;1;#N/A;1;1;"&amp;A";"Page &amp;P"}</definedName>
    <definedName name="_wq11" localSheetId="27">{0;0;0;0;1;#N/A;0.5;0.5;0.75;0.75;2;TRUE;TRUE;FALSE;FALSE;FALSE;#N/A;1;#N/A;1;1;"&amp;L&amp;7 RAMIBD05\GROUPS\EMG\DESOUSA\BRAZIL\MACHADIB\MODEL\MODEL_12.XLS -- &amp;D, &amp;T -- Page &amp;P of &amp;N
&amp;7";"&amp;L&amp;F&amp;A&amp;RPage&amp;P"}</definedName>
    <definedName name="_wq11">{0;0;0;0;1;#N/A;0.5;0.5;0.75;0.75;2;TRUE;TRUE;FALSE;FALSE;FALSE;#N/A;1;#N/A;1;1;"&amp;L&amp;7 RAMIBD05\GROUPS\EMG\DESOUSA\BRAZIL\MACHADIB\MODEL\MODEL_12.XLS -- &amp;D, &amp;T -- Page &amp;P of &amp;N
&amp;7";"&amp;L&amp;F&amp;A&amp;RPage&amp;P"}</definedName>
    <definedName name="_wq12" localSheetId="27">{0;0;0;0;9;#N/A;0.75;0.75;1;1;1;FALSE;FALSE;FALSE;FALSE;FALSE;#N/A;1;100;#N/A;#N/A;"&amp;A";"Page &amp;P"}</definedName>
    <definedName name="_wq12">{0;0;0;0;9;#N/A;0.75;0.75;1;1;1;FALSE;FALSE;FALSE;FALSE;FALSE;#N/A;1;100;#N/A;#N/A;"&amp;A";"Page &amp;P"}</definedName>
    <definedName name="_wq2" localSheetId="27">{0;0;0;0;1;#N/A;0.5;0.5;0.75;0.75;2;TRUE;TRUE;FALSE;FALSE;FALSE;#N/A;1;#N/A;1;1;"&amp;L&amp;7 RAMIBD05\GROUPS\EMG\DESOUSA\BRAZIL\MACHADIB\MODEL\MODEL_12.XLS -- &amp;D, &amp;T -- Page &amp;P of &amp;N
&amp;7";"&amp;L&amp;F&amp;A&amp;RPage&amp;P"}</definedName>
    <definedName name="_wq2">{0;0;0;0;1;#N/A;0.5;0.5;0.75;0.75;2;TRUE;TRUE;FALSE;FALSE;FALSE;#N/A;1;#N/A;1;1;"&amp;L&amp;7 RAMIBD05\GROUPS\EMG\DESOUSA\BRAZIL\MACHADIB\MODEL\MODEL_12.XLS -- &amp;D, &amp;T -- Page &amp;P of &amp;N
&amp;7";"&amp;L&amp;F&amp;A&amp;RPage&amp;P"}</definedName>
    <definedName name="_wq3" localSheetId="27">{0;0;0;0;1;#N/A;0.5;0.5;0.75;0.75;2;TRUE;TRUE;FALSE;FALSE;FALSE;#N/A;1;#N/A;1;1;"&amp;L&amp;7 RAMIBD05\GROUPS\EMG\DESOUSA\BRAZIL\MACHADIB\MODEL\MODEL_12.XLS -- &amp;D, &amp;T -- Page &amp;P of &amp;N
&amp;7";"&amp;L&amp;F&amp;A&amp;RPage&amp;P"}</definedName>
    <definedName name="_wq3">{0;0;0;0;1;#N/A;0.5;0.5;0.75;0.75;2;TRUE;TRUE;FALSE;FALSE;FALSE;#N/A;1;#N/A;1;1;"&amp;L&amp;7 RAMIBD05\GROUPS\EMG\DESOUSA\BRAZIL\MACHADIB\MODEL\MODEL_12.XLS -- &amp;D, &amp;T -- Page &amp;P of &amp;N
&amp;7";"&amp;L&amp;F&amp;A&amp;RPage&amp;P"}</definedName>
    <definedName name="_wq4" localSheetId="27">{0;0;0;0;9;#N/A;0.75;0.75;1;1;1;FALSE;FALSE;FALSE;FALSE;FALSE;#N/A;1;100;#N/A;#N/A;"&amp;A";"Page &amp;P"}</definedName>
    <definedName name="_wq4">{0;0;0;0;9;#N/A;0.75;0.75;1;1;1;FALSE;FALSE;FALSE;FALSE;FALSE;#N/A;1;100;#N/A;#N/A;"&amp;A";"Page &amp;P"}</definedName>
    <definedName name="_wq5" localSheetId="27">{0;0;0;0;9;#N/A;0.75;0.75;1;1;1;FALSE;FALSE;FALSE;FALSE;FALSE;#N/A;1;100;#N/A;#N/A;"&amp;A";"Page &amp;P"}</definedName>
    <definedName name="_wq5">{0;0;0;0;9;#N/A;0.75;0.75;1;1;1;FALSE;FALSE;FALSE;FALSE;FALSE;#N/A;1;100;#N/A;#N/A;"&amp;A";"Page &amp;P"}</definedName>
    <definedName name="_wq6" localSheetId="27">{0;0;0;0;9;#N/A;0.75;0.75;1;1;1;FALSE;FALSE;FALSE;FALSE;FALSE;#N/A;1;100;#N/A;#N/A;"&amp;A";"Page &amp;P"}</definedName>
    <definedName name="_wq6">{0;0;0;0;9;#N/A;0.75;0.75;1;1;1;FALSE;FALSE;FALSE;FALSE;FALSE;#N/A;1;100;#N/A;#N/A;"&amp;A";"Page &amp;P"}</definedName>
    <definedName name="_wq7" localSheetId="27">{0;0;0;0;1;#N/A;0.5;0.5;0.75;0.75;2;TRUE;TRUE;FALSE;FALSE;FALSE;#N/A;1;56;#N/A;#N/A;"&amp;L&amp;7 RAMIBD05\GROUPS\EMG\DESOUSA\BRAZIL\MACHADIB\MODEL\MODEL_20.XLS -- &amp;D, &amp;T -- Page 7 of 9
Machadinho Project
&amp;R&amp;""Arial,Italic""Confidential";"&amp;L&amp;F&amp;A&amp;RPage 7"}</definedName>
    <definedName name="_wq7">{0;0;0;0;1;#N/A;0.5;0.5;0.75;0.75;2;TRUE;TRUE;FALSE;FALSE;FALSE;#N/A;1;56;#N/A;#N/A;"&amp;L&amp;7 RAMIBD05\GROUPS\EMG\DESOUSA\BRAZIL\MACHADIB\MODEL\MODEL_20.XLS -- &amp;D, &amp;T -- Page 7 of 9
Machadinho Project
&amp;R&amp;""Arial,Italic""Confidential";"&amp;L&amp;F&amp;A&amp;RPage 7"}</definedName>
    <definedName name="_wq8" localSheetId="27">{0;0;0;0;1;#N/A;0.5;0.5;0.75;0.75;2;TRUE;TRUE;FALSE;FALSE;FALSE;#N/A;1;56;#N/A;#N/A;"&amp;L&amp;7 RAMIBD05\GROUPS\EMG\DESOUSA\BRAZIL\MACHADIB\MODEL\MODEL_20.XLS -- &amp;D, &amp;T -- Page 8 of 9
Machadinho Project
&amp;R&amp;""Arial,Italic""Confidential";"&amp;L&amp;F&amp;A&amp;RPage 8"}</definedName>
    <definedName name="_wq8">{0;0;0;0;1;#N/A;0.5;0.5;0.75;0.75;2;TRUE;TRUE;FALSE;FALSE;FALSE;#N/A;1;56;#N/A;#N/A;"&amp;L&amp;7 RAMIBD05\GROUPS\EMG\DESOUSA\BRAZIL\MACHADIB\MODEL\MODEL_20.XLS -- &amp;D, &amp;T -- Page 8 of 9
Machadinho Project
&amp;R&amp;""Arial,Italic""Confidential";"&amp;L&amp;F&amp;A&amp;RPage 8"}</definedName>
    <definedName name="_x10" localSheetId="27" hidden="1">#REF!</definedName>
    <definedName name="_x10" localSheetId="0" hidden="1">#REF!</definedName>
    <definedName name="_x10" hidden="1">#REF!</definedName>
    <definedName name="_x11" localSheetId="27" hidden="1">#REF!</definedName>
    <definedName name="_x11" localSheetId="0" hidden="1">#REF!</definedName>
    <definedName name="_x11" hidden="1">#REF!</definedName>
    <definedName name="_x12" localSheetId="0" hidden="1">#REF!</definedName>
    <definedName name="_x12" hidden="1">#REF!</definedName>
    <definedName name="_x13" localSheetId="0" hidden="1">#REF!</definedName>
    <definedName name="_x13" hidden="1">#REF!</definedName>
    <definedName name="_x14" localSheetId="0" hidden="1">#REF!</definedName>
    <definedName name="_x14" hidden="1">#REF!</definedName>
    <definedName name="_x15" localSheetId="0" hidden="1">#REF!</definedName>
    <definedName name="_x15" hidden="1">#REF!</definedName>
    <definedName name="_x16" localSheetId="0" hidden="1">#REF!</definedName>
    <definedName name="_x16" hidden="1">#REF!</definedName>
    <definedName name="_x17" localSheetId="0" hidden="1">#REF!</definedName>
    <definedName name="_x17" hidden="1">#REF!</definedName>
    <definedName name="_x18" localSheetId="0" hidden="1">#REF!</definedName>
    <definedName name="_x18" hidden="1">#REF!</definedName>
    <definedName name="_x19" localSheetId="0" hidden="1">#REF!</definedName>
    <definedName name="_x19" hidden="1">#REF!</definedName>
    <definedName name="_x20" localSheetId="0" hidden="1">#REF!</definedName>
    <definedName name="_x20" hidden="1">#REF!</definedName>
    <definedName name="_x21" localSheetId="0" hidden="1">#REF!</definedName>
    <definedName name="_x21" hidden="1">#REF!</definedName>
    <definedName name="_x22" localSheetId="0" hidden="1">#REF!</definedName>
    <definedName name="_x22" hidden="1">#REF!</definedName>
    <definedName name="_x23" localSheetId="0" hidden="1">#REF!</definedName>
    <definedName name="_x23" hidden="1">#REF!</definedName>
    <definedName name="_x24" localSheetId="0" hidden="1">#REF!</definedName>
    <definedName name="_x24" hidden="1">#REF!</definedName>
    <definedName name="_x25" localSheetId="0" hidden="1">#REF!</definedName>
    <definedName name="_x25" hidden="1">#REF!</definedName>
    <definedName name="_x28" localSheetId="0" hidden="1">#REF!</definedName>
    <definedName name="_x28" hidden="1">#REF!</definedName>
    <definedName name="_x29" localSheetId="0" hidden="1">#REF!</definedName>
    <definedName name="_x29" hidden="1">#REF!</definedName>
    <definedName name="_x32" localSheetId="0" hidden="1">#REF!</definedName>
    <definedName name="_x32" hidden="1">#REF!</definedName>
    <definedName name="_x4" localSheetId="0" hidden="1">#REF!</definedName>
    <definedName name="_x4" hidden="1">#REF!</definedName>
    <definedName name="_x5" localSheetId="0" hidden="1">#REF!</definedName>
    <definedName name="_x5" hidden="1">#REF!</definedName>
    <definedName name="_x6" localSheetId="0" hidden="1">#REF!</definedName>
    <definedName name="_x6" hidden="1">#REF!</definedName>
    <definedName name="_x7" localSheetId="0" hidden="1">#REF!</definedName>
    <definedName name="_x7" hidden="1">#REF!</definedName>
    <definedName name="_x8" localSheetId="0" hidden="1">#REF!</definedName>
    <definedName name="_x8" hidden="1">#REF!</definedName>
    <definedName name="_x9" localSheetId="0" hidden="1">#REF!</definedName>
    <definedName name="_x9" hidden="1">#REF!</definedName>
    <definedName name="_Z1srAssp" localSheetId="27">{0;0;0;0;1;#N/A;0.5;0.5;0.75;0.75;2;TRUE;TRUE;FALSE;FALSE;FALSE;#N/A;1;#N/A;1;1;"&amp;L&amp;7 RAMIBD05\GROUPS\EMG\DESOUSA\BRAZIL\MACHADIB\MODEL\MODEL_12.XLS -- &amp;D, &amp;T -- Page &amp;P of &amp;N
&amp;7";"&amp;L&amp;F&amp;A&amp;RPage&amp;P"}</definedName>
    <definedName name="_Z1srAssp">{0;0;0;0;1;#N/A;0.5;0.5;0.75;0.75;2;TRUE;TRUE;FALSE;FALSE;FALSE;#N/A;1;#N/A;1;1;"&amp;L&amp;7 RAMIBD05\GROUPS\EMG\DESOUSA\BRAZIL\MACHADIB\MODEL\MODEL_12.XLS -- &amp;D, &amp;T -- Page &amp;P of &amp;N
&amp;7";"&amp;L&amp;F&amp;A&amp;RPage&amp;P"}</definedName>
    <definedName name="_Z2ndAssp" localSheetId="27">{0;0;0;0;1;#N/A;0.5;0.5;0.75;0.75;2;TRUE;TRUE;FALSE;FALSE;FALSE;#N/A;1;#N/A;1;1;"&amp;L&amp;7 RAMIBD05\GROUPS\EMG\DESOUSA\BRAZIL\MACHADIB\MODEL\MODEL_12.XLS -- &amp;D, &amp;T -- Page &amp;P of &amp;N
&amp;7";"&amp;L&amp;F&amp;A&amp;RPage&amp;P"}</definedName>
    <definedName name="_Z2ndAssp">{0;0;0;0;1;#N/A;0.5;0.5;0.75;0.75;2;TRUE;TRUE;FALSE;FALSE;FALSE;#N/A;1;#N/A;1;1;"&amp;L&amp;7 RAMIBD05\GROUPS\EMG\DESOUSA\BRAZIL\MACHADIB\MODEL\MODEL_12.XLS -- &amp;D, &amp;T -- Page &amp;P of &amp;N
&amp;7";"&amp;L&amp;F&amp;A&amp;RPage&amp;P"}</definedName>
    <definedName name="_Z2srAssp" localSheetId="27">{0;0;0;0;1;#N/A;0.5;0.5;0.75;0.75;2;TRUE;TRUE;FALSE;FALSE;FALSE;#N/A;1;#N/A;1;1;"&amp;L&amp;7 RAMIBD05\GROUPS\EMG\DESOUSA\BRAZIL\MACHADIB\MODEL\MODEL_12.XLS -- &amp;D, &amp;T -- Page &amp;P of &amp;N
&amp;7";"&amp;L&amp;F&amp;A&amp;RPage&amp;P"}</definedName>
    <definedName name="_Z2srAssp">{0;0;0;0;1;#N/A;0.5;0.5;0.75;0.75;2;TRUE;TRUE;FALSE;FALSE;FALSE;#N/A;1;#N/A;1;1;"&amp;L&amp;7 RAMIBD05\GROUPS\EMG\DESOUSA\BRAZIL\MACHADIB\MODEL\MODEL_12.XLS -- &amp;D, &amp;T -- Page &amp;P of &amp;N
&amp;7";"&amp;L&amp;F&amp;A&amp;RPage&amp;P"}</definedName>
    <definedName name="_Z3rdassp" localSheetId="27">{0;0;0;0;1;#N/A;0.5;0.5;0.75;0.75;2;TRUE;TRUE;FALSE;FALSE;FALSE;#N/A;1;#N/A;1;1;"&amp;L&amp;7 RAMIBD05\GROUPS\EMG\DESOUSA\BRAZIL\MACHADIB\MODEL\MODEL_12.XLS -- &amp;D, &amp;T -- Page &amp;P of &amp;N
&amp;7";"&amp;L&amp;F&amp;A&amp;RPage&amp;P"}</definedName>
    <definedName name="_Z3rdassp">{0;0;0;0;1;#N/A;0.5;0.5;0.75;0.75;2;TRUE;TRUE;FALSE;FALSE;FALSE;#N/A;1;#N/A;1;1;"&amp;L&amp;7 RAMIBD05\GROUPS\EMG\DESOUSA\BRAZIL\MACHADIB\MODEL\MODEL_12.XLS -- &amp;D, &amp;T -- Page &amp;P of &amp;N
&amp;7";"&amp;L&amp;F&amp;A&amp;RPage&amp;P"}</definedName>
    <definedName name="_Z3reAssp" localSheetId="27">{0;0;0;0;1;#N/A;0.5;0.5;0.75;0.75;2;TRUE;TRUE;FALSE;FALSE;FALSE;#N/A;1;#N/A;1;1;"&amp;L&amp;7 RAMIBD05\GROUPS\EMG\DESOUSA\BRAZIL\MACHADIB\MODEL\MODEL_12.XLS -- &amp;D, &amp;T -- Page &amp;P of &amp;N
&amp;7";"&amp;L&amp;F&amp;A&amp;RPage&amp;P"}</definedName>
    <definedName name="_Z3reAssp">{0;0;0;0;1;#N/A;0.5;0.5;0.75;0.75;2;TRUE;TRUE;FALSE;FALSE;FALSE;#N/A;1;#N/A;1;1;"&amp;L&amp;7 RAMIBD05\GROUPS\EMG\DESOUSA\BRAZIL\MACHADIB\MODEL\MODEL_12.XLS -- &amp;D, &amp;T -- Page &amp;P of &amp;N
&amp;7";"&amp;L&amp;F&amp;A&amp;RPage&amp;P"}</definedName>
    <definedName name="_ZBalance" localSheetId="27">{0;0;0;0;9;#N/A;0.75;0.75;1;1;1;FALSE;FALSE;FALSE;FALSE;FALSE;#N/A;1;100;#N/A;#N/A;"&amp;A";"Page &amp;P"}</definedName>
    <definedName name="_ZBalance">{0;0;0;0;9;#N/A;0.75;0.75;1;1;1;FALSE;FALSE;FALSE;FALSE;FALSE;#N/A;1;100;#N/A;#N/A;"&amp;A";"Page &amp;P"}</definedName>
    <definedName name="_ZCash" localSheetId="27">{0;0;0;0;9;#N/A;0.75;0.75;1;1;1;FALSE;FALSE;FALSE;FALSE;FALSE;#N/A;1;100;#N/A;#N/A;"&amp;A";"Page &amp;P"}</definedName>
    <definedName name="_ZCash">{0;0;0;0;9;#N/A;0.75;0.75;1;1;1;FALSE;FALSE;FALSE;FALSE;FALSE;#N/A;1;100;#N/A;#N/A;"&amp;A";"Page &amp;P"}</definedName>
    <definedName name="_ZDebt" localSheetId="27">{0;0;0;0;9;#N/A;0.75;0.75;1;1;1;FALSE;FALSE;FALSE;FALSE;FALSE;#N/A;1;100;#N/A;#N/A;"&amp;A";"Page &amp;P"}</definedName>
    <definedName name="_ZDebt">{0;0;0;0;9;#N/A;0.75;0.75;1;1;1;FALSE;FALSE;FALSE;FALSE;FALSE;#N/A;1;100;#N/A;#N/A;"&amp;A";"Page &amp;P"}</definedName>
    <definedName name="_Zdebt1" localSheetId="27">{0;0;0;0;1;#N/A;0.5;0.5;0.75;0.75;2;TRUE;TRUE;FALSE;FALSE;FALSE;#N/A;1;56;#N/A;#N/A;"&amp;L&amp;7 RAMIBD05\GROUPS\EMG\DESOUSA\BRAZIL\MACHADIB\MODEL\MODEL_20.XLS -- &amp;D, &amp;T -- Page 7 of 9
Machadinho Project
&amp;R&amp;""Arial,Italic""Confidential";"&amp;L&amp;F&amp;A&amp;RPage 7"}</definedName>
    <definedName name="_Zdebt1">{0;0;0;0;1;#N/A;0.5;0.5;0.75;0.75;2;TRUE;TRUE;FALSE;FALSE;FALSE;#N/A;1;56;#N/A;#N/A;"&amp;L&amp;7 RAMIBD05\GROUPS\EMG\DESOUSA\BRAZIL\MACHADIB\MODEL\MODEL_20.XLS -- &amp;D, &amp;T -- Page 7 of 9
Machadinho Project
&amp;R&amp;""Arial,Italic""Confidential";"&amp;L&amp;F&amp;A&amp;RPage 7"}</definedName>
    <definedName name="_Zdebt2" localSheetId="27">{0;0;0;0;1;#N/A;0.5;0.5;0.75;0.75;2;TRUE;TRUE;FALSE;FALSE;FALSE;#N/A;1;56;#N/A;#N/A;"&amp;L&amp;7 RAMIBD05\GROUPS\EMG\DESOUSA\BRAZIL\MACHADIB\MODEL\MODEL_20.XLS -- &amp;D, &amp;T -- Page 8 of 9
Machadinho Project
&amp;R&amp;""Arial,Italic""Confidential";"&amp;L&amp;F&amp;A&amp;RPage 8"}</definedName>
    <definedName name="_Zdebt2">{0;0;0;0;1;#N/A;0.5;0.5;0.75;0.75;2;TRUE;TRUE;FALSE;FALSE;FALSE;#N/A;1;56;#N/A;#N/A;"&amp;L&amp;7 RAMIBD05\GROUPS\EMG\DESOUSA\BRAZIL\MACHADIB\MODEL\MODEL_20.XLS -- &amp;D, &amp;T -- Page 8 of 9
Machadinho Project
&amp;R&amp;""Arial,Italic""Confidential";"&amp;L&amp;F&amp;A&amp;RPage 8"}</definedName>
    <definedName name="_ZDeprec." localSheetId="27">{0;0;0;0;258;#N/A;0.75;0.75;1;1;2;FALSE;FALSE;FALSE;FALSE;FALSE;#N/A;1;#N/A;1;1;"&amp;A";"Page &amp;P"}</definedName>
    <definedName name="_ZDeprec.">{0;0;0;0;258;#N/A;0.75;0.75;1;1;2;FALSE;FALSE;FALSE;FALSE;FALSE;#N/A;1;#N/A;1;1;"&amp;A";"Page &amp;P"}</definedName>
    <definedName name="´çp">recuperação #REF!</definedName>
    <definedName name="a" localSheetId="27">#REF!</definedName>
    <definedName name="a" localSheetId="0">#REF!</definedName>
    <definedName name="a" localSheetId="26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_I_C_V">#N/A</definedName>
    <definedName name="A_M_FRA">#N/A</definedName>
    <definedName name="A_METROS">#N/A</definedName>
    <definedName name="aa" localSheetId="0" hidden="1">{"'Edit'!$A$1:$V$2277"}</definedName>
    <definedName name="AA">#N/A</definedName>
    <definedName name="aaa" localSheetId="27" hidden="1">{#N/A,#N/A,FALSE,"Plan1";#N/A,#N/A,FALSE,"Plan2"}</definedName>
    <definedName name="aaa" localSheetId="0" hidden="1">{#N/A,#N/A,FALSE,"Plan1";#N/A,#N/A,FALSE,"Plan2"}</definedName>
    <definedName name="aaa" hidden="1">{#N/A,#N/A,FALSE,"Plan1";#N/A,#N/A,FALSE,"Plan2"}</definedName>
    <definedName name="AAA_DOCTOPS" hidden="1">"AAA_SET"</definedName>
    <definedName name="AAA_duser" hidden="1">"OFF"</definedName>
    <definedName name="aaaa" localSheetId="27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a" localSheetId="0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a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aa" localSheetId="27" hidden="1">{"tabela",#N/A,FALSE,"Tabela";"decoração",#N/A,FALSE,"Decor.";"Informações",#N/A,FALSE,"Inform."}</definedName>
    <definedName name="aaaaa" localSheetId="0" hidden="1">{"tabela",#N/A,FALSE,"Tabela";"decoração",#N/A,FALSE,"Decor.";"Informações",#N/A,FALSE,"Inform."}</definedName>
    <definedName name="aaaaa" hidden="1">{"tabela",#N/A,FALSE,"Tabela";"decoração",#N/A,FALSE,"Decor.";"Informações",#N/A,FALSE,"Inform."}</definedName>
    <definedName name="aaaaaa">#N/A</definedName>
    <definedName name="aaaaaaaa" localSheetId="27" hidden="1">#REF!</definedName>
    <definedName name="aaaaaaaa" localSheetId="0" hidden="1">#REF!</definedName>
    <definedName name="aaaaaaaa" hidden="1">#REF!</definedName>
    <definedName name="aaaaaaaaa" localSheetId="27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aaaaaaaaa" localSheetId="0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aaaaaaaaa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aaaaaaaaaa" localSheetId="27" hidden="1">#REF!</definedName>
    <definedName name="aaaaaaaaaa" localSheetId="0" hidden="1">#REF!</definedName>
    <definedName name="aaaaaaaaaa" hidden="1">#REF!</definedName>
    <definedName name="aaaaaaaaaaa" localSheetId="27" hidden="1">#REF!</definedName>
    <definedName name="aaaaaaaaaaa" localSheetId="0" hidden="1">#REF!</definedName>
    <definedName name="aaaaaaaaaaa" hidden="1">#REF!</definedName>
    <definedName name="aaaaaaaaaaaaaaaaaaaaaaaaaa" localSheetId="27" hidden="1">#REF!</definedName>
    <definedName name="aaaaaaaaaaaaaaaaaaaaaaaaaa" localSheetId="0" hidden="1">#REF!</definedName>
    <definedName name="aaaaaaaaaaaaaaaaaaaaaaaaaa" hidden="1">#REF!</definedName>
    <definedName name="aaaaaaaaaaaaaaaaaaaaaaaaaaaaa">#REF!</definedName>
    <definedName name="AAAAAAAAAAAAAAAAAAAAAAAAAAAAAAA" localSheetId="0" hidden="1">#REF!</definedName>
    <definedName name="AAAAAAAAAAAAAAAAAAAAAAAAAAAAAAA" hidden="1">#REF!</definedName>
    <definedName name="aaaaaaaaaaaaaaaaaaaaaaaaaaaasssssssssssssssss" hidden="1">{#N/A,#N/A,FALSE,"NET";#N/A,#N/A,FALSE,"caxi";#N/A,#N/A,FALSE,"nhai";#N/A,#N/A,FALSE,"urui";#N/A,#N/A,FALSE,"cali";#N/A,#N/A,FALSE,"joii";#N/A,#N/A,FALSE,"hol";#N/A,#N/A,FALSE,"poa";#N/A,#N/A,FALSE,"pel";#N/A,#N/A,FALSE,"cha";#N/A,#N/A,FALSE,"rgr";#N/A,#N/A,FALSE,"ere";#N/A,#N/A,FALSE,"scr";#N/A,#N/A,FALSE,"cri";#N/A,#N/A,FALSE,"bag";#N/A,#N/A,FALSE,"pfu";#N/A,#N/A,FALSE,"lit";#N/A,#N/A,FALSE,"mmd";#N/A,#N/A,FALSE,"sma";#N/A,#N/A,FALSE,"btg";#N/A,#N/A,FALSE,"far";#N/A,#N/A,FALSE,"laj";#N/A,#N/A,FALSE,"flo";#N/A,#N/A,FALSE,"076";#N/A,#N/A,FALSE,"iflo";#N/A,#N/A,FALSE,"blu"}</definedName>
    <definedName name="aaaaaaaaaaas" localSheetId="27" hidden="1">{#N/A,#N/A,FALSE,"Plan1";#N/A,#N/A,FALSE,"Plan2"}</definedName>
    <definedName name="aaaaaaaaaaas" localSheetId="0" hidden="1">{#N/A,#N/A,FALSE,"Plan1";#N/A,#N/A,FALSE,"Plan2"}</definedName>
    <definedName name="aaaaaaaaaaas" hidden="1">{#N/A,#N/A,FALSE,"Plan1";#N/A,#N/A,FALSE,"Plan2"}</definedName>
    <definedName name="aaacccc" localSheetId="27" hidden="1">{#N/A,#N/A,FALSE,"Plan1";#N/A,#N/A,FALSE,"Plan2"}</definedName>
    <definedName name="aaacccc" localSheetId="0" hidden="1">{#N/A,#N/A,FALSE,"Plan1";#N/A,#N/A,FALSE,"Plan2"}</definedName>
    <definedName name="aaacccc" hidden="1">{#N/A,#N/A,FALSE,"Plan1";#N/A,#N/A,FALSE,"Plan2"}</definedName>
    <definedName name="AAB_Addin5" hidden="1">"AAB_Description for addin 5,Description for addin 5,Description for addin 5,Description for addin 5,Description for addin 5,Description for addin 5"</definedName>
    <definedName name="AAB_GSPPG" hidden="1">"AAB_Goldman Sachs PPG Chart Utilities 1.0g"</definedName>
    <definedName name="aadd" localSheetId="27">#REF!</definedName>
    <definedName name="aadd">#REF!</definedName>
    <definedName name="abc" hidden="1">{"inputs raw data",#N/A,TRUE,"INPUT"}</definedName>
    <definedName name="ABR" localSheetId="27">#REF!</definedName>
    <definedName name="ABR">#REF!</definedName>
    <definedName name="Abril" localSheetId="27">#REF!</definedName>
    <definedName name="Abril">#REF!</definedName>
    <definedName name="abx" hidden="1">{"'Edit'!$A$1:$V$2277"}</definedName>
    <definedName name="ac" hidden="1">{"'Edit'!$A$1:$V$2277"}</definedName>
    <definedName name="Accounting_Type">#REF!</definedName>
    <definedName name="ACCS">#REF!</definedName>
    <definedName name="achar18" localSheetId="0" hidden="1">#REF!</definedName>
    <definedName name="achar18" hidden="1">#REF!</definedName>
    <definedName name="achar19" localSheetId="0" hidden="1">#REF!</definedName>
    <definedName name="achar19" hidden="1">#REF!</definedName>
    <definedName name="achart1" localSheetId="0" hidden="1">#REF!</definedName>
    <definedName name="achart1" hidden="1">#REF!</definedName>
    <definedName name="achart10" localSheetId="0" hidden="1">#REF!</definedName>
    <definedName name="achart10" hidden="1">#REF!</definedName>
    <definedName name="achart11" localSheetId="0" hidden="1">#REF!</definedName>
    <definedName name="achart11" hidden="1">#REF!</definedName>
    <definedName name="achart12" localSheetId="0" hidden="1">#REF!</definedName>
    <definedName name="achart12" hidden="1">#REF!</definedName>
    <definedName name="achart13" localSheetId="0" hidden="1">#REF!</definedName>
    <definedName name="achart13" hidden="1">#REF!</definedName>
    <definedName name="achart14" localSheetId="0" hidden="1">#REF!</definedName>
    <definedName name="achart14" hidden="1">#REF!</definedName>
    <definedName name="achart15" localSheetId="0" hidden="1">#REF!</definedName>
    <definedName name="achart15" hidden="1">#REF!</definedName>
    <definedName name="achart16" localSheetId="0" hidden="1">#REF!</definedName>
    <definedName name="achart16" hidden="1">#REF!</definedName>
    <definedName name="achart17" localSheetId="0" hidden="1">#REF!</definedName>
    <definedName name="achart17" hidden="1">#REF!</definedName>
    <definedName name="achart2" localSheetId="0" hidden="1">#REF!</definedName>
    <definedName name="achart2" hidden="1">#REF!</definedName>
    <definedName name="achart20" localSheetId="0" hidden="1">#REF!</definedName>
    <definedName name="achart20" hidden="1">#REF!</definedName>
    <definedName name="achart21" localSheetId="0" hidden="1">#REF!</definedName>
    <definedName name="achart21" hidden="1">#REF!</definedName>
    <definedName name="achart22" localSheetId="0" hidden="1">#REF!</definedName>
    <definedName name="achart22" hidden="1">#REF!</definedName>
    <definedName name="achart23" localSheetId="0" hidden="1">#REF!</definedName>
    <definedName name="achart23" hidden="1">#REF!</definedName>
    <definedName name="achart24" localSheetId="0" hidden="1">#REF!</definedName>
    <definedName name="achart24" hidden="1">#REF!</definedName>
    <definedName name="achart25" localSheetId="0" hidden="1">#REF!</definedName>
    <definedName name="achart25" hidden="1">#REF!</definedName>
    <definedName name="achart26" localSheetId="0" hidden="1">#REF!</definedName>
    <definedName name="achart26" hidden="1">#REF!</definedName>
    <definedName name="achart27" localSheetId="0" hidden="1">#REF!</definedName>
    <definedName name="achart27" hidden="1">#REF!</definedName>
    <definedName name="achart28" localSheetId="0" hidden="1">#REF!</definedName>
    <definedName name="achart28" hidden="1">#REF!</definedName>
    <definedName name="achart29" localSheetId="0" hidden="1">#REF!</definedName>
    <definedName name="achart29" hidden="1">#REF!</definedName>
    <definedName name="achart3" localSheetId="0" hidden="1">#REF!</definedName>
    <definedName name="achart3" hidden="1">#REF!</definedName>
    <definedName name="achart30" localSheetId="0" hidden="1">#REF!</definedName>
    <definedName name="achart30" hidden="1">#REF!</definedName>
    <definedName name="achart31" localSheetId="0" hidden="1">#REF!</definedName>
    <definedName name="achart31" hidden="1">#REF!</definedName>
    <definedName name="achart32" localSheetId="0" hidden="1">#REF!</definedName>
    <definedName name="achart32" hidden="1">#REF!</definedName>
    <definedName name="achart4" localSheetId="0" hidden="1">#REF!</definedName>
    <definedName name="achart4" hidden="1">#REF!</definedName>
    <definedName name="achart5" localSheetId="0" hidden="1">#REF!</definedName>
    <definedName name="achart5" hidden="1">#REF!</definedName>
    <definedName name="achart6" localSheetId="0" hidden="1">#REF!</definedName>
    <definedName name="achart6" hidden="1">#REF!</definedName>
    <definedName name="achart7" localSheetId="0" hidden="1">#REF!</definedName>
    <definedName name="achart7" hidden="1">#REF!</definedName>
    <definedName name="achart8" localSheetId="0" hidden="1">#REF!</definedName>
    <definedName name="achart8" hidden="1">#REF!</definedName>
    <definedName name="achart9" localSheetId="0" hidden="1">#REF!</definedName>
    <definedName name="achart9" hidden="1">#REF!</definedName>
    <definedName name="ACNITRO">#REF!</definedName>
    <definedName name="aco">#REF!</definedName>
    <definedName name="ACOPPCAM">#REF!</definedName>
    <definedName name="ACPROPPET">#REF!</definedName>
    <definedName name="ACPVC">#REF!</definedName>
    <definedName name="acres_mat_imp">#REF!</definedName>
    <definedName name="Acresc" localSheetId="27">#REF!</definedName>
    <definedName name="Acresc">#REF!</definedName>
    <definedName name="Acrs_juros" localSheetId="27">#REF!</definedName>
    <definedName name="Acrs_juros">#REF!</definedName>
    <definedName name="ACTCOST">#REF!</definedName>
    <definedName name="ACTFA">#REF!</definedName>
    <definedName name="ACTINV">#REF!</definedName>
    <definedName name="ACTSALES">#REF!</definedName>
    <definedName name="ACTSALES1">#REF!</definedName>
    <definedName name="Actual_Plan">#REF!</definedName>
    <definedName name="ACUM" localSheetId="27">#REF!</definedName>
    <definedName name="ACUM">#REF!</definedName>
    <definedName name="ACUM_EMPRESA" localSheetId="27">#REF!</definedName>
    <definedName name="ACUM_EMPRESA">#REF!</definedName>
    <definedName name="ACwvu.inputs._.raw._.data." hidden="1">#REF!</definedName>
    <definedName name="ACwvu.PLANILHA2." localSheetId="27" hidden="1">#REF!</definedName>
    <definedName name="ACwvu.PLANILHA2." localSheetId="0" hidden="1">#REF!</definedName>
    <definedName name="ACwvu.PLANILHA2." hidden="1">#REF!</definedName>
    <definedName name="ACwvu.summary1." hidden="1">#REF!</definedName>
    <definedName name="ACwvu.summary2." hidden="1">#REF!</definedName>
    <definedName name="ACwvu.summary3." hidden="1">#REF!</definedName>
    <definedName name="ad" localSheetId="27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ad" localSheetId="0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ad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Additions">#REF!</definedName>
    <definedName name="adfadg" localSheetId="27">#REF!</definedName>
    <definedName name="adfadg">#REF!</definedName>
    <definedName name="adfawefef" localSheetId="27" hidden="1">#REF!</definedName>
    <definedName name="adfawefef" localSheetId="0" hidden="1">#REF!</definedName>
    <definedName name="adfawefef" hidden="1">#REF!</definedName>
    <definedName name="adfdfasddf" localSheetId="27" hidden="1">#REF!</definedName>
    <definedName name="adfdfasddf" localSheetId="0" hidden="1">#REF!</definedName>
    <definedName name="adfdfasddf" hidden="1">#REF!</definedName>
    <definedName name="adiantamento">#REF!</definedName>
    <definedName name="adic">#REF!</definedName>
    <definedName name="adm_cs">#REF!</definedName>
    <definedName name="adm_cs_asahi">#REF!</definedName>
    <definedName name="adm_cs_uhde" localSheetId="27">#REF!</definedName>
    <definedName name="adm_cs_uhde">#REF!</definedName>
    <definedName name="adm_edc">#REF!</definedName>
    <definedName name="ADNITRO" localSheetId="27">#REF!</definedName>
    <definedName name="ADNITRO">#REF!</definedName>
    <definedName name="ADPROPPET" localSheetId="27">#REF!</definedName>
    <definedName name="ADPROPPET">#REF!</definedName>
    <definedName name="ADPVC" localSheetId="27">#REF!</definedName>
    <definedName name="ADPVC">#REF!</definedName>
    <definedName name="adriana" localSheetId="0" hidden="1">#REF!</definedName>
    <definedName name="adriana" hidden="1">#REF!</definedName>
    <definedName name="adsfg">#N/A</definedName>
    <definedName name="AERO" localSheetId="27">#REF!</definedName>
    <definedName name="AERO">#REF!</definedName>
    <definedName name="AEWFDS" localSheetId="27" hidden="1">{#N/A,#N/A,FALSE,"Plan1";#N/A,#N/A,FALSE,"Plan2"}</definedName>
    <definedName name="AEWFDS" localSheetId="0" hidden="1">{#N/A,#N/A,FALSE,"Plan1";#N/A,#N/A,FALSE,"Plan2"}</definedName>
    <definedName name="AEWFDS" hidden="1">{#N/A,#N/A,FALSE,"Plan1";#N/A,#N/A,FALSE,"Plan2"}</definedName>
    <definedName name="af">#REF!</definedName>
    <definedName name="afasdfdsf" localSheetId="27" hidden="1">#REF!</definedName>
    <definedName name="afasdfdsf" localSheetId="0" hidden="1">#REF!</definedName>
    <definedName name="afasdfdsf" hidden="1">#REF!</definedName>
    <definedName name="afdasf" localSheetId="27" hidden="1">#REF!</definedName>
    <definedName name="afdasf" localSheetId="0" hidden="1">#REF!</definedName>
    <definedName name="afdasf" hidden="1">#REF!</definedName>
    <definedName name="afdfdasf" localSheetId="27" hidden="1">#REF!</definedName>
    <definedName name="afdfdasf" localSheetId="0" hidden="1">#REF!</definedName>
    <definedName name="afdfdasf" hidden="1">#REF!</definedName>
    <definedName name="afsdafdssaddfd" localSheetId="0" hidden="1">#REF!</definedName>
    <definedName name="afsdafdssaddfd" hidden="1">#REF!</definedName>
    <definedName name="agagag">#REF!</definedName>
    <definedName name="agfg" localSheetId="0" hidden="1">#REF!</definedName>
    <definedName name="agfg" hidden="1">#REF!</definedName>
    <definedName name="AGO">#REF!</definedName>
    <definedName name="Agosto">#REF!</definedName>
    <definedName name="AH">#REF!</definedName>
    <definedName name="AINITRO" localSheetId="27">#REF!</definedName>
    <definedName name="AINITRO">#REF!</definedName>
    <definedName name="AIPROPPET" localSheetId="27">#REF!</definedName>
    <definedName name="AIPROPPET">#REF!</definedName>
    <definedName name="AIPVC" localSheetId="27">#REF!</definedName>
    <definedName name="AIPVC">#REF!</definedName>
    <definedName name="AIR">#REF!</definedName>
    <definedName name="ajdajd">#REF!</definedName>
    <definedName name="AJUSTES">#REF!</definedName>
    <definedName name="aliq_cofins">#REF!</definedName>
    <definedName name="aliq_cpmf" localSheetId="27">#REF!</definedName>
    <definedName name="aliq_cpmf">#REF!</definedName>
    <definedName name="aliq_pis">#REF!</definedName>
    <definedName name="ALL" hidden="1">{"'Edit'!$A$1:$V$2277"}</definedName>
    <definedName name="alternativa">#REF!</definedName>
    <definedName name="AM_1" localSheetId="27">#REF!</definedName>
    <definedName name="AM_1">#REF!</definedName>
    <definedName name="AM_2" localSheetId="27">#REF!</definedName>
    <definedName name="AM_2">#REF!</definedName>
    <definedName name="AM_3" localSheetId="27">#REF!</definedName>
    <definedName name="AM_3">#REF!</definedName>
    <definedName name="amcbyasbcjkmdcawsq" hidden="1">#REF!</definedName>
    <definedName name="AMOR">#REF!</definedName>
    <definedName name="amortizaciones" localSheetId="27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amortizaciones" localSheetId="0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amortizaciones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ANDRE">TRUE</definedName>
    <definedName name="Anexo6a">#REF!</definedName>
    <definedName name="Anexo6b">#REF!</definedName>
    <definedName name="Anexo6c">#REF!</definedName>
    <definedName name="Anexo7">#REF!</definedName>
    <definedName name="Anexo8">#REF!</definedName>
    <definedName name="anexoO">#REF!</definedName>
    <definedName name="ANO" localSheetId="27">#REF!</definedName>
    <definedName name="ano" localSheetId="0">#REF!</definedName>
    <definedName name="ANO">#REF!</definedName>
    <definedName name="ano_1">#REF!</definedName>
    <definedName name="ano_2">#REF!</definedName>
    <definedName name="ano_3">#REF!</definedName>
    <definedName name="Ano_30" localSheetId="27">#REF!</definedName>
    <definedName name="Ano_30">#REF!</definedName>
    <definedName name="ano_4">#REF!</definedName>
    <definedName name="Ano_Ab" localSheetId="27" hidden="1">#REF!</definedName>
    <definedName name="Ano_Ab" localSheetId="0" hidden="1">#REF!</definedName>
    <definedName name="Ano_Ab" hidden="1">#REF!</definedName>
    <definedName name="ano_desativacao">#REF!</definedName>
    <definedName name="Ano_Enc" localSheetId="27" hidden="1">#REF!</definedName>
    <definedName name="Ano_Enc" localSheetId="0" hidden="1">#REF!</definedName>
    <definedName name="Ano_Enc" hidden="1">#REF!</definedName>
    <definedName name="ano_monsanto">#REF!</definedName>
    <definedName name="ano_referencia">#REF!</definedName>
    <definedName name="AnoAnterior">#REF!</definedName>
    <definedName name="AnoAnterior2">#REF!</definedName>
    <definedName name="anscount" hidden="1">1</definedName>
    <definedName name="anuais_longa" localSheetId="27">#REF!</definedName>
    <definedName name="anuais_longa">#REF!</definedName>
    <definedName name="APCS" localSheetId="27">#REF!</definedName>
    <definedName name="APCS">#REF!</definedName>
    <definedName name="APNITRO" localSheetId="27">#REF!</definedName>
    <definedName name="APNITRO">#REF!</definedName>
    <definedName name="APOPPCAM">#REF!</definedName>
    <definedName name="aporte_ano1">#REF!</definedName>
    <definedName name="aportetotal">#REF!</definedName>
    <definedName name="APPROPPET" localSheetId="27">#REF!</definedName>
    <definedName name="APPROPPET">#REF!</definedName>
    <definedName name="APPVC" localSheetId="27">#REF!</definedName>
    <definedName name="APPVC">#REF!</definedName>
    <definedName name="ARA_Threshold" localSheetId="27">#REF!</definedName>
    <definedName name="ARA_Threshold">#REF!</definedName>
    <definedName name="area" localSheetId="27" hidden="1">{#N/A,#N/A,FALSE,"Plan1";#N/A,#N/A,FALSE,"Plan2"}</definedName>
    <definedName name="area" localSheetId="0" hidden="1">{#N/A,#N/A,FALSE,"Plan1";#N/A,#N/A,FALSE,"Plan2"}</definedName>
    <definedName name="area" hidden="1">{#N/A,#N/A,FALSE,"Plan1";#N/A,#N/A,FALSE,"Plan2"}</definedName>
    <definedName name="ÁREA_DE_ENTRADA_DE_C_PROD_CABO">#REF!</definedName>
    <definedName name="ÁREA_DE_ENTRADA_DE_C_PROD_CAXIAS">#REF!</definedName>
    <definedName name="ÁREA_DE_ENTRADA_DE_C_PROD_TRIUNFO">#REF!</definedName>
    <definedName name="ÁREA_DE_ENTRADA_DE_CUSTO_FIXO">#REF!</definedName>
    <definedName name="ÁREA_DE_ENTRADA_DE_CUSTOS_VARIAVEIS">#REF!</definedName>
    <definedName name="ÁREA_DE_ENTRADA_DE_CVARIÁVEL_TOTAL">#REF!</definedName>
    <definedName name="ÁREA_DE_ENTRADA_DE_FATURAMENTO">#REF!</definedName>
    <definedName name="_xlnm.Extract" localSheetId="27">#REF!</definedName>
    <definedName name="_xlnm.Extract">#REF!</definedName>
    <definedName name="_xlnm.Print_Area" localSheetId="27">#REF!</definedName>
    <definedName name="_xlnm.Print_Area" localSheetId="3">QDA!$B$1:$O$241</definedName>
    <definedName name="_xlnm.Print_Area" localSheetId="4">QDB!$B$1:$O$241</definedName>
    <definedName name="_xlnm.Print_Area" localSheetId="5">QDC!$B$1:$AK$8</definedName>
    <definedName name="_xlnm.Print_Area" localSheetId="6">QDD!$B$1:$AL$58</definedName>
    <definedName name="_xlnm.Print_Area" localSheetId="7">QDE!$B$1:$AM$72</definedName>
    <definedName name="_xlnm.Print_Area" localSheetId="8">QDF!$B$1:$AM$23</definedName>
    <definedName name="_xlnm.Print_Area" localSheetId="9">QDG!$B$1:$AL$13</definedName>
    <definedName name="_xlnm.Print_Area" localSheetId="10">QDH!$B$1:$AL$26</definedName>
    <definedName name="_xlnm.Print_Area" localSheetId="11">QDI!$B$1:$AL$12</definedName>
    <definedName name="_xlnm.Print_Area" localSheetId="12">QDJ!$B$1:$AL$26</definedName>
    <definedName name="_xlnm.Print_Area" localSheetId="13">QDK!$B$1:$AL$28</definedName>
    <definedName name="_xlnm.Print_Area" localSheetId="14">QDL!$B$1:$AL$28</definedName>
    <definedName name="_xlnm.Print_Area" localSheetId="15">QDM!$B$1:$AL$33</definedName>
    <definedName name="_xlnm.Print_Area" localSheetId="19">'Série Histórica IPCA'!$A$1:$H$364</definedName>
    <definedName name="_xlnm.Print_Area">#REF!</definedName>
    <definedName name="Area_de_impressao1" localSheetId="27">#REF!</definedName>
    <definedName name="Area_de_impressao1">#REF!</definedName>
    <definedName name="Area_de_impressao2" localSheetId="27">#REF!</definedName>
    <definedName name="Area_de_impressao2">#REF!</definedName>
    <definedName name="AREA_FRAC">#N/A</definedName>
    <definedName name="AREA_LEG">#N/A</definedName>
    <definedName name="AREA_MUN">#N/A</definedName>
    <definedName name="AREA_TRANSFERENCIA" localSheetId="27">#REF!</definedName>
    <definedName name="AREA_TRANSFERENCIA">#REF!</definedName>
    <definedName name="AREA2" localSheetId="27">#REF!</definedName>
    <definedName name="AREA2">#REF!</definedName>
    <definedName name="AREAFRAC">#N/A</definedName>
    <definedName name="ARP_Threshold" localSheetId="27">#REF!</definedName>
    <definedName name="ARP_Threshold">#REF!</definedName>
    <definedName name="arquivos_nomes" localSheetId="27">#REF!</definedName>
    <definedName name="arquivos_nomes">#REF!</definedName>
    <definedName name="Arred" localSheetId="27">#REF!</definedName>
    <definedName name="Arred">#REF!</definedName>
    <definedName name="as" localSheetId="27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as" localSheetId="0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as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AS2DocOpenMode" hidden="1">"AS2DocumentEdit"</definedName>
    <definedName name="AS2NamedRange" hidden="1">15</definedName>
    <definedName name="AS2ReportLS" hidden="1">1</definedName>
    <definedName name="AS2StaticLS" localSheetId="27" hidden="1">#REF!</definedName>
    <definedName name="AS2StaticLS" localSheetId="0" hidden="1">#REF!</definedName>
    <definedName name="AS2StaticLS" hidden="1">#REF!</definedName>
    <definedName name="AS2SyncStepLS" hidden="1">0</definedName>
    <definedName name="AS2TickmarkLS" localSheetId="27" hidden="1">#REF!</definedName>
    <definedName name="AS2TickmarkLS" localSheetId="0" hidden="1">#REF!</definedName>
    <definedName name="AS2TickmarkLS" hidden="1">#REF!</definedName>
    <definedName name="AS2VersionLS" hidden="1">300</definedName>
    <definedName name="asd" localSheetId="27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asd" localSheetId="0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asd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asdaw" hidden="1">{"FCB_ALL",#N/A,FALSE,"FCB"}</definedName>
    <definedName name="asdf" hidden="1">#REF!</definedName>
    <definedName name="asdfadsfasdf" localSheetId="27" hidden="1">#REF!</definedName>
    <definedName name="asdfadsfasdf" localSheetId="0" hidden="1">#REF!</definedName>
    <definedName name="asdfadsfasdf" hidden="1">#REF!</definedName>
    <definedName name="asdfasdf">#REF!</definedName>
    <definedName name="asdfasdfasdf" localSheetId="27" hidden="1">{"tabela",#N/A,FALSE,"Tabela";"decoração",#N/A,FALSE,"Decor.";"Informações",#N/A,FALSE,"Inform."}</definedName>
    <definedName name="asdfasdfasdf" localSheetId="0" hidden="1">{"tabela",#N/A,FALSE,"Tabela";"decoração",#N/A,FALSE,"Decor.";"Informações",#N/A,FALSE,"Inform."}</definedName>
    <definedName name="asdfasdfasdf" hidden="1">{"tabela",#N/A,FALSE,"Tabela";"decoração",#N/A,FALSE,"Decor.";"Informações",#N/A,FALSE,"Inform."}</definedName>
    <definedName name="asdfasdfsdfasdfasdf" localSheetId="27" hidden="1">{#N/A,#N/A,FALSE,"Plan1";#N/A,#N/A,FALSE,"Plan2"}</definedName>
    <definedName name="asdfasdfsdfasdfasdf" localSheetId="0" hidden="1">{#N/A,#N/A,FALSE,"Plan1";#N/A,#N/A,FALSE,"Plan2"}</definedName>
    <definedName name="asdfasdfsdfasdfasdf" hidden="1">{#N/A,#N/A,FALSE,"Plan1";#N/A,#N/A,FALSE,"Plan2"}</definedName>
    <definedName name="asdfasf" localSheetId="27" hidden="1">#REF!</definedName>
    <definedName name="asdfasf" localSheetId="0" hidden="1">#REF!</definedName>
    <definedName name="asdfasf" hidden="1">#REF!</definedName>
    <definedName name="asdffsdfsdfs" localSheetId="27" hidden="1">#REF!</definedName>
    <definedName name="asdffsdfsdfs" localSheetId="0" hidden="1">#REF!</definedName>
    <definedName name="asdffsdfsdfs" hidden="1">#REF!</definedName>
    <definedName name="asdfg">#N/A</definedName>
    <definedName name="asdsa" localSheetId="27" hidden="1">#REF!</definedName>
    <definedName name="asdsa" localSheetId="0" hidden="1">#REF!</definedName>
    <definedName name="asdsa" hidden="1">#REF!</definedName>
    <definedName name="asdsfsda" localSheetId="27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asdsfsda" localSheetId="0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asdsfsda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asffre" localSheetId="27" hidden="1">#REF!</definedName>
    <definedName name="asffre" localSheetId="0" hidden="1">#REF!</definedName>
    <definedName name="asffre" hidden="1">#REF!</definedName>
    <definedName name="ASNITRO" localSheetId="27">#REF!</definedName>
    <definedName name="ASNITRO">#REF!</definedName>
    <definedName name="ASPROPPET" localSheetId="27">#REF!</definedName>
    <definedName name="ASPROPPET">#REF!</definedName>
    <definedName name="ASPVC">#REF!</definedName>
    <definedName name="ass">#REF!</definedName>
    <definedName name="assoccons1" localSheetId="27">#REF!</definedName>
    <definedName name="assoccons1">#REF!</definedName>
    <definedName name="AT">#REF!</definedName>
    <definedName name="ativo" localSheetId="27">#REF!</definedName>
    <definedName name="ativo">#REF!</definedName>
    <definedName name="ato1_curta">#REF!</definedName>
    <definedName name="ato1_longa" localSheetId="27">#REF!</definedName>
    <definedName name="ato1_longa">#REF!</definedName>
    <definedName name="ato2_curta">#REF!</definedName>
    <definedName name="ato2_longa" localSheetId="27">#REF!</definedName>
    <definedName name="ato2_longa">#REF!</definedName>
    <definedName name="Atualizado_Ate" localSheetId="0">#REF!</definedName>
    <definedName name="Atualizado_Ate">#REF!</definedName>
    <definedName name="aval" localSheetId="27">#REF!</definedName>
    <definedName name="aval">#REF!</definedName>
    <definedName name="B" localSheetId="27">#REF!</definedName>
    <definedName name="b" localSheetId="0" hidden="1">{"TotalGeralDespesasPorArea",#N/A,FALSE,"VinculosAccessEfetivo"}</definedName>
    <definedName name="b" localSheetId="26" hidden="1">{"'Índice'!$A$1:$K$49"}</definedName>
    <definedName name="b" hidden="1">{"'Índice'!$A$1:$K$49"}</definedName>
    <definedName name="B_CMI">#REF!</definedName>
    <definedName name="Bal">#REF!</definedName>
    <definedName name="Bal_soc_ativo">#REF!</definedName>
    <definedName name="balance" localSheetId="27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balance" localSheetId="0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balance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BALANÇO" localSheetId="27">#REF!</definedName>
    <definedName name="BALANÇO">#REF!</definedName>
    <definedName name="BALANÇO_CMI" localSheetId="27">#REF!</definedName>
    <definedName name="BALANÇO_CMI">#REF!</definedName>
    <definedName name="BALANÇO_CMI_UFIR" localSheetId="27">#REF!</definedName>
    <definedName name="BALANÇO_CMI_UFIR">#REF!</definedName>
    <definedName name="BALANÇO_CMI_US">#REF!</definedName>
    <definedName name="BALANÇO_LS">#REF!</definedName>
    <definedName name="Balanço_soc_passivo">#REF!</definedName>
    <definedName name="balcop">#REF!</definedName>
    <definedName name="BalType" hidden="1">TRUE</definedName>
    <definedName name="BALUFIR" localSheetId="27">#REF!</definedName>
    <definedName name="BALUFIR">#REF!</definedName>
    <definedName name="_xlnm.Database" localSheetId="27">#REF!</definedName>
    <definedName name="_xlnm.Database" localSheetId="0">#REF!</definedName>
    <definedName name="_xlnm.Database">#REF!</definedName>
    <definedName name="BandasAnoInicial" localSheetId="27" hidden="1">#REF!</definedName>
    <definedName name="BandasAnoInicial" localSheetId="0" hidden="1">#REF!</definedName>
    <definedName name="BandasAnoInicial" hidden="1">#REF!</definedName>
    <definedName name="BandasCadernoEncargos" localSheetId="0" hidden="1">#REF!</definedName>
    <definedName name="BandasCadernoEncargos" hidden="1">#REF!</definedName>
    <definedName name="BandasIndiceActualizaçãoTarifária" localSheetId="0" hidden="1">#REF!</definedName>
    <definedName name="BandasIndiceActualizaçãoTarifária" hidden="1">#REF!</definedName>
    <definedName name="BandasLimitesSuperior" localSheetId="0" hidden="1">#REF!</definedName>
    <definedName name="BandasLimitesSuperior" hidden="1">#REF!</definedName>
    <definedName name="BandasPagamentosFixos" localSheetId="0" hidden="1">#REF!</definedName>
    <definedName name="BandasPagamentosFixos" hidden="1">#REF!</definedName>
    <definedName name="BandasPagamentosVariaveis" localSheetId="0" hidden="1">#REF!</definedName>
    <definedName name="BandasPagamentosVariaveis" hidden="1">#REF!</definedName>
    <definedName name="BandasPenalizaçõesPercentagem" localSheetId="0" hidden="1">#REF!</definedName>
    <definedName name="BandasPenalizaçõesPercentagem" hidden="1">#REF!</definedName>
    <definedName name="BandasPgtIndiceActualizaçãoTarifária" localSheetId="0" hidden="1">#REF!</definedName>
    <definedName name="BandasPgtIndiceActualizaçãoTarifária" hidden="1">#REF!</definedName>
    <definedName name="BandasReceitasPortagem" localSheetId="0" hidden="1">#REF!</definedName>
    <definedName name="BandasReceitasPortagem" hidden="1">#REF!</definedName>
    <definedName name="BandasTabelaActualizaçãoTarifária" localSheetId="0" hidden="1">#REF!</definedName>
    <definedName name="BandasTabelaActualizaçãoTarifária" hidden="1">#REF!</definedName>
    <definedName name="BandasTarifasReferência" localSheetId="0" hidden="1">#REF!</definedName>
    <definedName name="BandasTarifasReferência" hidden="1">#REF!</definedName>
    <definedName name="BandasVeiculosKmsAlocação" localSheetId="0" hidden="1">#REF!</definedName>
    <definedName name="BandasVeiculosKmsAlocação" hidden="1">#REF!</definedName>
    <definedName name="Barreiras_Entrada_Manual" localSheetId="0" hidden="1">#REF!</definedName>
    <definedName name="Barreiras_Entrada_Manual" hidden="1">#REF!</definedName>
    <definedName name="Barreiras_Entrada_VV" localSheetId="0" hidden="1">#REF!</definedName>
    <definedName name="Barreiras_Entrada_VV" hidden="1">#REF!</definedName>
    <definedName name="Barreiras_Lanços" localSheetId="0" hidden="1">#REF!</definedName>
    <definedName name="Barreiras_Lanços" hidden="1">#REF!</definedName>
    <definedName name="Barreiras_Saída_Manual" localSheetId="0" hidden="1">#REF!</definedName>
    <definedName name="Barreiras_Saída_Manual" hidden="1">#REF!</definedName>
    <definedName name="Barreiras_Saída_VV" localSheetId="0" hidden="1">#REF!</definedName>
    <definedName name="Barreiras_Saída_VV" hidden="1">#REF!</definedName>
    <definedName name="Barreiras_Sublanços" localSheetId="0" hidden="1">#REF!</definedName>
    <definedName name="Barreiras_Sublanços" hidden="1">#REF!</definedName>
    <definedName name="BASE" localSheetId="0">OFFSET(#REF!,0,0,COUNTA(#REF!+#REF!),COUNTA(#REF!))</definedName>
    <definedName name="BASE">#REF!</definedName>
    <definedName name="base_calculo_inv_dce">#REF!</definedName>
    <definedName name="BASE_TJLP">#REF!:OFFSET(#REF!,COUNTA(#REF!)-1,0)</definedName>
    <definedName name="base2" localSheetId="0">#REF!</definedName>
    <definedName name="BASE2">#REF!</definedName>
    <definedName name="base3">#REF!</definedName>
    <definedName name="bb" localSheetId="0">#REF!</definedName>
    <definedName name="BB">#N/A</definedName>
    <definedName name="BBB">#N/A</definedName>
    <definedName name="BBBB">recuperação #REF!</definedName>
    <definedName name="bbbbbbbbbb" localSheetId="27" hidden="1">#REF!</definedName>
    <definedName name="bbbbbbbbbb" localSheetId="0" hidden="1">#REF!</definedName>
    <definedName name="bbbbbbbbbb" hidden="1">#REF!</definedName>
    <definedName name="bbbbbbbbbbbbbb" localSheetId="27" hidden="1">#REF!</definedName>
    <definedName name="bbbbbbbbbbbbbb" localSheetId="0" hidden="1">#REF!</definedName>
    <definedName name="bbbbbbbbbbbbbb" hidden="1">#REF!</definedName>
    <definedName name="bchar10" localSheetId="27" hidden="1">#REF!</definedName>
    <definedName name="bchar10" localSheetId="0" hidden="1">#REF!</definedName>
    <definedName name="bchar10" hidden="1">#REF!</definedName>
    <definedName name="bchart1" localSheetId="0" hidden="1">#REF!</definedName>
    <definedName name="bchart1" hidden="1">#REF!</definedName>
    <definedName name="bchart11" localSheetId="0" hidden="1">#REF!</definedName>
    <definedName name="bchart11" hidden="1">#REF!</definedName>
    <definedName name="bchart12" localSheetId="0" hidden="1">#REF!</definedName>
    <definedName name="bchart12" hidden="1">#REF!</definedName>
    <definedName name="bchart13" localSheetId="0" hidden="1">#REF!</definedName>
    <definedName name="bchart13" hidden="1">#REF!</definedName>
    <definedName name="bchart14" localSheetId="0" hidden="1">#REF!</definedName>
    <definedName name="bchart14" hidden="1">#REF!</definedName>
    <definedName name="bchart15" localSheetId="0" hidden="1">#REF!</definedName>
    <definedName name="bchart15" hidden="1">#REF!</definedName>
    <definedName name="bchart16" localSheetId="0" hidden="1">#REF!</definedName>
    <definedName name="bchart16" hidden="1">#REF!</definedName>
    <definedName name="bchart17" localSheetId="0" hidden="1">#REF!</definedName>
    <definedName name="bchart17" hidden="1">#REF!</definedName>
    <definedName name="bchart18" localSheetId="0" hidden="1">#REF!</definedName>
    <definedName name="bchart18" hidden="1">#REF!</definedName>
    <definedName name="bchart19" localSheetId="0" hidden="1">#REF!</definedName>
    <definedName name="bchart19" hidden="1">#REF!</definedName>
    <definedName name="bchart2" localSheetId="0" hidden="1">#REF!</definedName>
    <definedName name="bchart2" hidden="1">#REF!</definedName>
    <definedName name="bchart20" localSheetId="0" hidden="1">#REF!</definedName>
    <definedName name="bchart20" hidden="1">#REF!</definedName>
    <definedName name="bchart21" localSheetId="0" hidden="1">#REF!</definedName>
    <definedName name="bchart21" hidden="1">#REF!</definedName>
    <definedName name="bchart22" localSheetId="0" hidden="1">#REF!</definedName>
    <definedName name="bchart22" hidden="1">#REF!</definedName>
    <definedName name="bchart23" localSheetId="0" hidden="1">#REF!</definedName>
    <definedName name="bchart23" hidden="1">#REF!</definedName>
    <definedName name="bchart24" localSheetId="0" hidden="1">#REF!</definedName>
    <definedName name="bchart24" hidden="1">#REF!</definedName>
    <definedName name="bchart25" localSheetId="0" hidden="1">#REF!</definedName>
    <definedName name="bchart25" hidden="1">#REF!</definedName>
    <definedName name="bchart26" localSheetId="0" hidden="1">#REF!</definedName>
    <definedName name="bchart26" hidden="1">#REF!</definedName>
    <definedName name="bchart27" localSheetId="0" hidden="1">#REF!</definedName>
    <definedName name="bchart27" hidden="1">#REF!</definedName>
    <definedName name="bchart28" localSheetId="0" hidden="1">#REF!</definedName>
    <definedName name="bchart28" hidden="1">#REF!</definedName>
    <definedName name="bchart29" localSheetId="0" hidden="1">#REF!</definedName>
    <definedName name="bchart29" hidden="1">#REF!</definedName>
    <definedName name="bchart3" localSheetId="0" hidden="1">#REF!</definedName>
    <definedName name="bchart3" hidden="1">#REF!</definedName>
    <definedName name="bchart30" localSheetId="0" hidden="1">#REF!</definedName>
    <definedName name="bchart30" hidden="1">#REF!</definedName>
    <definedName name="bchart31" localSheetId="0" hidden="1">#REF!</definedName>
    <definedName name="bchart31" hidden="1">#REF!</definedName>
    <definedName name="bchart32" localSheetId="0" hidden="1">#REF!</definedName>
    <definedName name="bchart32" hidden="1">#REF!</definedName>
    <definedName name="bchart4" localSheetId="0" hidden="1">#REF!</definedName>
    <definedName name="bchart4" hidden="1">#REF!</definedName>
    <definedName name="bchart5" localSheetId="0" hidden="1">#REF!</definedName>
    <definedName name="bchart5" hidden="1">#REF!</definedName>
    <definedName name="bchart6" localSheetId="0" hidden="1">#REF!</definedName>
    <definedName name="bchart6" hidden="1">#REF!</definedName>
    <definedName name="bchart7" localSheetId="0" hidden="1">#REF!</definedName>
    <definedName name="bchart7" hidden="1">#REF!</definedName>
    <definedName name="bchart8" localSheetId="0" hidden="1">#REF!</definedName>
    <definedName name="bchart8" hidden="1">#REF!</definedName>
    <definedName name="bchart9" localSheetId="0" hidden="1">#REF!</definedName>
    <definedName name="bchart9" hidden="1">#REF!</definedName>
    <definedName name="bd_moedas">#REF!</definedName>
    <definedName name="bdi" localSheetId="27">#REF!</definedName>
    <definedName name="bdi">#REF!</definedName>
    <definedName name="BEI1_paste" localSheetId="27">#REF!</definedName>
    <definedName name="BEI1_paste">#REF!</definedName>
    <definedName name="BEI2paste" localSheetId="27">#REF!</definedName>
    <definedName name="BEI2paste">#REF!</definedName>
    <definedName name="BENZENO" localSheetId="27">#REF!</definedName>
    <definedName name="BENZENO">#REF!</definedName>
    <definedName name="BEZENO" localSheetId="27">#REF!</definedName>
    <definedName name="BEZENO">#REF!</definedName>
    <definedName name="BG_Del" hidden="1">15</definedName>
    <definedName name="BG_Ins" hidden="1">4</definedName>
    <definedName name="BG_Mod" hidden="1">6</definedName>
    <definedName name="bh" localSheetId="27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bh" localSheetId="0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bh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bhg">recuperação #REF!</definedName>
    <definedName name="bin">#REF!</definedName>
    <definedName name="bkl_real" localSheetId="27">#REF!</definedName>
    <definedName name="bkl_real">#REF!</definedName>
    <definedName name="blp_real" localSheetId="27">#REF!</definedName>
    <definedName name="blp_real">#REF!</definedName>
    <definedName name="BLPH1" localSheetId="27" hidden="1">#REF!</definedName>
    <definedName name="BLPH1" localSheetId="0" hidden="1">#REF!</definedName>
    <definedName name="BLPH1" hidden="1">#REF!</definedName>
    <definedName name="BLPH10" localSheetId="27" hidden="1">#REF!</definedName>
    <definedName name="BLPH10" localSheetId="0" hidden="1">#REF!</definedName>
    <definedName name="BLPH10" hidden="1">#REF!</definedName>
    <definedName name="BLPH11" localSheetId="27" hidden="1">#REF!</definedName>
    <definedName name="BLPH11" localSheetId="0" hidden="1">#REF!</definedName>
    <definedName name="BLPH11" hidden="1">#REF!</definedName>
    <definedName name="BLPH12" localSheetId="27" hidden="1">#REF!</definedName>
    <definedName name="BLPH12" localSheetId="0" hidden="1">#REF!</definedName>
    <definedName name="BLPH12" hidden="1">#REF!</definedName>
    <definedName name="BLPH13" localSheetId="27" hidden="1">#REF!</definedName>
    <definedName name="BLPH13" localSheetId="0" hidden="1">#REF!</definedName>
    <definedName name="BLPH13" hidden="1">#REF!</definedName>
    <definedName name="BLPH14" localSheetId="27" hidden="1">#REF!</definedName>
    <definedName name="BLPH14" localSheetId="0" hidden="1">#REF!</definedName>
    <definedName name="BLPH14" hidden="1">#REF!</definedName>
    <definedName name="BLPH15" localSheetId="27" hidden="1">#REF!</definedName>
    <definedName name="BLPH15" localSheetId="0" hidden="1">#REF!</definedName>
    <definedName name="BLPH15" hidden="1">#REF!</definedName>
    <definedName name="BLPH2" localSheetId="27" hidden="1">#REF!</definedName>
    <definedName name="BLPH2" localSheetId="0" hidden="1">#REF!</definedName>
    <definedName name="BLPH2" hidden="1">#REF!</definedName>
    <definedName name="BLPH3" localSheetId="27" hidden="1">#REF!</definedName>
    <definedName name="BLPH3" localSheetId="0" hidden="1">#REF!</definedName>
    <definedName name="BLPH3" hidden="1">#REF!</definedName>
    <definedName name="BLPH4" localSheetId="27" hidden="1">#REF!</definedName>
    <definedName name="BLPH4" localSheetId="0" hidden="1">#REF!</definedName>
    <definedName name="BLPH4" hidden="1">#REF!</definedName>
    <definedName name="BLPH45" localSheetId="27" hidden="1">#REF!</definedName>
    <definedName name="BLPH45" localSheetId="0" hidden="1">#REF!</definedName>
    <definedName name="BLPH45" hidden="1">#REF!</definedName>
    <definedName name="BLPH46" localSheetId="27" hidden="1">#REF!</definedName>
    <definedName name="BLPH46" localSheetId="0" hidden="1">#REF!</definedName>
    <definedName name="BLPH46" hidden="1">#REF!</definedName>
    <definedName name="BLPH47" localSheetId="27" hidden="1">#REF!</definedName>
    <definedName name="BLPH47" localSheetId="0" hidden="1">#REF!</definedName>
    <definedName name="BLPH47" hidden="1">#REF!</definedName>
    <definedName name="BLPH48" localSheetId="0" hidden="1">#REF!</definedName>
    <definedName name="BLPH48" hidden="1">#REF!</definedName>
    <definedName name="BLPH49" localSheetId="0" hidden="1">#REF!</definedName>
    <definedName name="BLPH49" hidden="1">#REF!</definedName>
    <definedName name="BLPH5" localSheetId="0" hidden="1">#REF!</definedName>
    <definedName name="BLPH5" hidden="1">#REF!</definedName>
    <definedName name="BLPH50" localSheetId="27" hidden="1">#REF!</definedName>
    <definedName name="BLPH50" localSheetId="0" hidden="1">#REF!</definedName>
    <definedName name="BLPH50" hidden="1">#REF!</definedName>
    <definedName name="BLPH51" localSheetId="27" hidden="1">#REF!</definedName>
    <definedName name="BLPH51" localSheetId="0" hidden="1">#REF!</definedName>
    <definedName name="BLPH51" hidden="1">#REF!</definedName>
    <definedName name="BLPH52" localSheetId="27" hidden="1">#REF!</definedName>
    <definedName name="BLPH52" localSheetId="0" hidden="1">#REF!</definedName>
    <definedName name="BLPH52" hidden="1">#REF!</definedName>
    <definedName name="BLPH53" localSheetId="0" hidden="1">#REF!</definedName>
    <definedName name="BLPH53" hidden="1">#REF!</definedName>
    <definedName name="BLPH54" localSheetId="0" hidden="1">#REF!</definedName>
    <definedName name="BLPH54" hidden="1">#REF!</definedName>
    <definedName name="BLPH55" localSheetId="0" hidden="1">#REF!</definedName>
    <definedName name="BLPH55" hidden="1">#REF!</definedName>
    <definedName name="BLPH56" localSheetId="0" hidden="1">#REF!</definedName>
    <definedName name="BLPH56" hidden="1">#REF!</definedName>
    <definedName name="BLPH57" localSheetId="0" hidden="1">#REF!</definedName>
    <definedName name="BLPH57" hidden="1">#REF!</definedName>
    <definedName name="BLPH58" localSheetId="0" hidden="1">#REF!</definedName>
    <definedName name="BLPH58" hidden="1">#REF!</definedName>
    <definedName name="BLPH59" localSheetId="0" hidden="1">#REF!</definedName>
    <definedName name="BLPH59" hidden="1">#REF!</definedName>
    <definedName name="BLPH6" localSheetId="0" hidden="1">#REF!</definedName>
    <definedName name="BLPH6" hidden="1">#REF!</definedName>
    <definedName name="BLPH60" localSheetId="27" hidden="1">#REF!</definedName>
    <definedName name="BLPH60" localSheetId="0" hidden="1">#REF!</definedName>
    <definedName name="BLPH60" hidden="1">#REF!</definedName>
    <definedName name="BLPH61" localSheetId="27" hidden="1">#REF!</definedName>
    <definedName name="BLPH61" localSheetId="0" hidden="1">#REF!</definedName>
    <definedName name="BLPH61" hidden="1">#REF!</definedName>
    <definedName name="BLPH62" localSheetId="27" hidden="1">#REF!</definedName>
    <definedName name="BLPH62" localSheetId="0" hidden="1">#REF!</definedName>
    <definedName name="BLPH62" hidden="1">#REF!</definedName>
    <definedName name="BLPH63" localSheetId="0" hidden="1">#REF!</definedName>
    <definedName name="BLPH63" hidden="1">#REF!</definedName>
    <definedName name="BLPH64" localSheetId="0" hidden="1">#REF!</definedName>
    <definedName name="BLPH64" hidden="1">#REF!</definedName>
    <definedName name="BLPH65" localSheetId="0" hidden="1">#REF!</definedName>
    <definedName name="BLPH65" hidden="1">#REF!</definedName>
    <definedName name="BLPH66" localSheetId="0" hidden="1">#REF!</definedName>
    <definedName name="BLPH66" hidden="1">#REF!</definedName>
    <definedName name="BLPH67" hidden="1">#REF!</definedName>
    <definedName name="BLPH68" hidden="1">#REF!</definedName>
    <definedName name="BLPH69" hidden="1">#REF!</definedName>
    <definedName name="BLPH7" localSheetId="27" hidden="1">#REF!</definedName>
    <definedName name="BLPH7" localSheetId="0" hidden="1">#REF!</definedName>
    <definedName name="BLPH7" hidden="1">#REF!</definedName>
    <definedName name="BLPH70" hidden="1">#REF!</definedName>
    <definedName name="BLPH71" hidden="1">#REF!</definedName>
    <definedName name="BLPH72" hidden="1">#REF!</definedName>
    <definedName name="BLPH73" hidden="1">#REF!</definedName>
    <definedName name="BLPH74" hidden="1">#REF!</definedName>
    <definedName name="BLPH75" hidden="1">#REF!</definedName>
    <definedName name="BLPH76" hidden="1">#REF!</definedName>
    <definedName name="BLPH77" hidden="1">#REF!</definedName>
    <definedName name="BLPH78" localSheetId="27" hidden="1">#REF!</definedName>
    <definedName name="BLPH78" localSheetId="0" hidden="1">#REF!</definedName>
    <definedName name="BLPH78" hidden="1">#REF!</definedName>
    <definedName name="BLPH79" localSheetId="27" hidden="1">#REF!</definedName>
    <definedName name="BLPH79" localSheetId="0" hidden="1">#REF!</definedName>
    <definedName name="BLPH79" hidden="1">#REF!</definedName>
    <definedName name="BLPH8" localSheetId="0" hidden="1">#REF!</definedName>
    <definedName name="BLPH8" hidden="1">#REF!</definedName>
    <definedName name="BLPH80" localSheetId="27" hidden="1">#REF!</definedName>
    <definedName name="BLPH80" localSheetId="0" hidden="1">#REF!</definedName>
    <definedName name="BLPH80" hidden="1">#REF!</definedName>
    <definedName name="BLPH81" localSheetId="27" hidden="1">#REF!</definedName>
    <definedName name="BLPH81" localSheetId="0" hidden="1">#REF!</definedName>
    <definedName name="BLPH81" hidden="1">#REF!</definedName>
    <definedName name="BLPH82" localSheetId="0" hidden="1">#REF!</definedName>
    <definedName name="BLPH82" hidden="1">#REF!</definedName>
    <definedName name="BLPH83" localSheetId="0" hidden="1">#REF!</definedName>
    <definedName name="BLPH83" hidden="1">#REF!</definedName>
    <definedName name="BLPH9" localSheetId="27" hidden="1">#REF!</definedName>
    <definedName name="BLPH9" localSheetId="0" hidden="1">#REF!</definedName>
    <definedName name="BLPH9" hidden="1">#REF!</definedName>
    <definedName name="BLPI1" hidden="1">#REF!</definedName>
    <definedName name="BLPI2" hidden="1">#REF!</definedName>
    <definedName name="BLPI3" hidden="1">#REF!</definedName>
    <definedName name="BLPI4" hidden="1">#REF!</definedName>
    <definedName name="BLPI5" hidden="1">#REF!</definedName>
    <definedName name="BLPI6" hidden="1">#REF!</definedName>
    <definedName name="BLPI7" hidden="1">#REF!</definedName>
    <definedName name="BLPI8" hidden="1">#REF!</definedName>
    <definedName name="BMHaberMesAcum">#REF!</definedName>
    <definedName name="BMHaberMesMatTrat">#REF!</definedName>
    <definedName name="BP" localSheetId="27">#REF!</definedName>
    <definedName name="BP">#REF!</definedName>
    <definedName name="BPC_Inicio">#REF!</definedName>
    <definedName name="BS_Accts_Pay_and_Accr_Liab">#REF!</definedName>
    <definedName name="BS_Accts_Pay_and_Accr_Liab_01">#REF!</definedName>
    <definedName name="BS_Accts_Pay_and_Accr_Liab_LE02">#REF!</definedName>
    <definedName name="BS_Accts_Pay_and_Accr_Liab_Q03">#REF!</definedName>
    <definedName name="BS_Accts_Rec">#REF!</definedName>
    <definedName name="BS_Accts_Rec_01">#REF!</definedName>
    <definedName name="BS_Accts_Rec_LE02">#REF!</definedName>
    <definedName name="BS_Accts_Rec_Q03">#REF!</definedName>
    <definedName name="BS_Cap_Contr_MI">#REF!</definedName>
    <definedName name="BS_Cap_Contr_MI_01">#REF!</definedName>
    <definedName name="BS_Cap_Contr_MI_LE02">#REF!</definedName>
    <definedName name="BS_Cap_Contr_MI_Q03">#REF!</definedName>
    <definedName name="BS_Cap_Exp">#REF!</definedName>
    <definedName name="BS_Cap_Exp_01">#REF!</definedName>
    <definedName name="BS_Cap_Exp_LE02">#REF!</definedName>
    <definedName name="BS_Cap_Exp_Q03">#REF!</definedName>
    <definedName name="BS_Cash_Depos_Sec">#REF!</definedName>
    <definedName name="BS_Cash_Depos_Sec_01">#REF!</definedName>
    <definedName name="BS_Cash_Depos_Sec_LE02">#REF!</definedName>
    <definedName name="BS_Cash_Depos_Sec_Q03">#REF!</definedName>
    <definedName name="BS_Curr_Assets">#REF!</definedName>
    <definedName name="BS_Curr_Assets_01">#REF!</definedName>
    <definedName name="BS_Curr_Assets_LE02">#REF!</definedName>
    <definedName name="BS_Curr_Assets_Q03">#REF!</definedName>
    <definedName name="BS_Curr_Liab">#REF!</definedName>
    <definedName name="BS_Curr_Liab_01">#REF!</definedName>
    <definedName name="BS_Curr_Liab_LE02">#REF!</definedName>
    <definedName name="BS_Curr_Liab_Q03">#REF!</definedName>
    <definedName name="BS_Debt">#REF!</definedName>
    <definedName name="BS_Debt_01">#REF!</definedName>
    <definedName name="BS_Debt_LE02">#REF!</definedName>
    <definedName name="BS_Debt_Q03">#REF!</definedName>
    <definedName name="BS_Def_Tax">#REF!</definedName>
    <definedName name="BS_Def_Tax_01">#REF!</definedName>
    <definedName name="BS_Def_Tax_LE02">#REF!</definedName>
    <definedName name="BS_Def_Tax_Q03">#REF!</definedName>
    <definedName name="BS_Depr_Additions">#REF!</definedName>
    <definedName name="BS_Depr_Additions_01">#REF!</definedName>
    <definedName name="BS_Depr_Additions_LE02">#REF!</definedName>
    <definedName name="BS_Depr_Additions_Q03">#REF!</definedName>
    <definedName name="BS_Depr_Sales_IG_Transf">#REF!</definedName>
    <definedName name="BS_Depr_Sales_IG_Transf_01">#REF!</definedName>
    <definedName name="BS_Depr_Sales_IG_Transf_LE02">#REF!</definedName>
    <definedName name="BS_Depr_Sales_IG_Transf_Q03">#REF!</definedName>
    <definedName name="BS_Div_Paid_Min_Int">#REF!</definedName>
    <definedName name="BS_Div_Paid_Min_Int_01">#REF!</definedName>
    <definedName name="BS_Div_Paid_Min_Int_LE02">#REF!</definedName>
    <definedName name="BS_Div_Paid_Min_Int_Q03">#REF!</definedName>
    <definedName name="BS_Div_Paid_Or_Rec">#REF!</definedName>
    <definedName name="BS_Div_Paid_Or_Rec_01">#REF!</definedName>
    <definedName name="BS_Div_Paid_Or_Rec_LE02">#REF!</definedName>
    <definedName name="BS_Div_Paid_Or_Rec_Q03">#REF!</definedName>
    <definedName name="BS_Equity">#REF!</definedName>
    <definedName name="BS_Equity_01">#REF!</definedName>
    <definedName name="BS_Equity_LE02">#REF!</definedName>
    <definedName name="BS_Equity_Q03">#REF!</definedName>
    <definedName name="BS_Fixed_Assets">#REF!</definedName>
    <definedName name="BS_Fixed_Assets_01">#REF!</definedName>
    <definedName name="BS_Fixed_Assets_LE02">#REF!</definedName>
    <definedName name="BS_Fixed_Assets_Q03">#REF!</definedName>
    <definedName name="BS_Gp_Min_Int">#REF!</definedName>
    <definedName name="BS_Gp_Min_Int_01">#REF!</definedName>
    <definedName name="BS_Gp_Min_Int_LE02">#REF!</definedName>
    <definedName name="BS_Gp_Min_Int_Q03">#REF!</definedName>
    <definedName name="BS_IG_Cap_Net">#REF!</definedName>
    <definedName name="BS_IG_Cap_Net_01">#REF!</definedName>
    <definedName name="BS_IG_Cap_Net_LE02">#REF!</definedName>
    <definedName name="BS_IG_Cap_Net_Q03">#REF!</definedName>
    <definedName name="BS_Intang_Ass_Capex">#REF!</definedName>
    <definedName name="BS_Intang_Ass_Capex_01">#REF!</definedName>
    <definedName name="BS_Intang_Ass_Capex_LE02">#REF!</definedName>
    <definedName name="BS_Intang_Ass_Capex_Q03">#REF!</definedName>
    <definedName name="BS_Intang_Ass_Clos_Bal">#REF!</definedName>
    <definedName name="BS_Intang_Ass_Clos_Bal_01">#REF!</definedName>
    <definedName name="BS_Intang_Ass_Clos_Bal_LE02">#REF!</definedName>
    <definedName name="BS_Intang_Ass_Clos_Bal_Q03">#REF!</definedName>
    <definedName name="BS_Intang_Ass_Depr_Adds">#REF!</definedName>
    <definedName name="BS_Intang_Ass_Depr_Adds_01">#REF!</definedName>
    <definedName name="BS_Intang_Ass_Depr_Adds_LE02">#REF!</definedName>
    <definedName name="BS_Intang_Ass_Depr_Adds_Q03">#REF!</definedName>
    <definedName name="BS_Intang_Ass_Depr_Clos_Bal">#REF!</definedName>
    <definedName name="BS_Intang_Ass_Depr_Clos_Bal_01">#REF!</definedName>
    <definedName name="BS_Intang_Ass_Depr_Clos_Bal_LE02">#REF!</definedName>
    <definedName name="BS_Intang_Ass_Depr_Clos_Bal_Q03">#REF!</definedName>
    <definedName name="BS_Intang_Ass_Depr_Open_Bal">#REF!</definedName>
    <definedName name="BS_Intang_Ass_Depr_Open_Bal_01">#REF!</definedName>
    <definedName name="BS_Intang_Ass_Depr_Open_Bal_LE02">#REF!</definedName>
    <definedName name="BS_Intang_Ass_Depr_Open_Bal_Q03">#REF!</definedName>
    <definedName name="BS_Intang_Ass_Depr_Sales">#REF!</definedName>
    <definedName name="BS_Intang_Ass_Depr_Sales_01">#REF!</definedName>
    <definedName name="BS_Intang_Ass_Depr_Sales_LE02">#REF!</definedName>
    <definedName name="BS_Intang_Ass_Depr_Sales_Q03">#REF!</definedName>
    <definedName name="BS_Intang_Ass_Open_Bal">#REF!</definedName>
    <definedName name="BS_Intang_Ass_Open_Bal_01">#REF!</definedName>
    <definedName name="BS_Intang_Ass_Open_Bal_LE02">#REF!</definedName>
    <definedName name="BS_Intang_Ass_Open_Bal_Q03">#REF!</definedName>
    <definedName name="BS_Intang_Ass_Sales">#REF!</definedName>
    <definedName name="BS_Intang_Ass_Sales_01">#REF!</definedName>
    <definedName name="BS_Intang_Ass_Sales_LE02">#REF!</definedName>
    <definedName name="BS_Intang_Ass_Sales_Q03">#REF!</definedName>
    <definedName name="BS_Intang_Assets">#REF!</definedName>
    <definedName name="BS_Intang_Assets_01">#REF!</definedName>
    <definedName name="BS_Intang_Assets_LE02">#REF!</definedName>
    <definedName name="BS_Intang_Assets_Q03">#REF!</definedName>
    <definedName name="BS_Inv_Assoc_Co_Div">#REF!</definedName>
    <definedName name="BS_Inv_Assoc_Co_Div_01">#REF!</definedName>
    <definedName name="BS_Inv_Assoc_Co_Div_LE02">#REF!</definedName>
    <definedName name="BS_Inv_Assoc_Co_Div_Q03">#REF!</definedName>
    <definedName name="BS_Inv_Assoc_Co_Earn">#REF!</definedName>
    <definedName name="BS_Inv_Assoc_Co_Earn_01">#REF!</definedName>
    <definedName name="BS_Inv_Assoc_Co_Earn_LE02">#REF!</definedName>
    <definedName name="BS_Inv_Assoc_Co_Earn_Q03">#REF!</definedName>
    <definedName name="BS_Inv_Assoc_Co_Eq">#REF!</definedName>
    <definedName name="BS_Inv_Assoc_Co_Eq_01">#REF!</definedName>
    <definedName name="BS_Inv_Assoc_Co_Eq_LE02">#REF!</definedName>
    <definedName name="BS_Inv_Assoc_Co_Eq_Q03">#REF!</definedName>
    <definedName name="BS_Inv_Oth">#REF!</definedName>
    <definedName name="BS_Inv_Oth_01">#REF!</definedName>
    <definedName name="BS_Inv_Oth_LE02">#REF!</definedName>
    <definedName name="BS_Inv_Oth_Q03">#REF!</definedName>
    <definedName name="BS_Inventories">#REF!</definedName>
    <definedName name="BS_Inventories_01">#REF!</definedName>
    <definedName name="BS_Inventories_LE02">#REF!</definedName>
    <definedName name="BS_Inventories_Q03">#REF!</definedName>
    <definedName name="BS_Invest_Assoc_Co">#REF!</definedName>
    <definedName name="BS_Invest_Assoc_Co_01">#REF!</definedName>
    <definedName name="BS_Invest_Assoc_Co_LE02">#REF!</definedName>
    <definedName name="BS_Invest_Assoc_Co_OB">#REF!</definedName>
    <definedName name="BS_Invest_Assoc_Co_OB_01">#REF!</definedName>
    <definedName name="BS_Invest_Assoc_Co_OB_LE02">#REF!</definedName>
    <definedName name="BS_Invest_Assoc_Co_OB_Q03">#REF!</definedName>
    <definedName name="BS_Invest_Assoc_Co_Q03">#REF!</definedName>
    <definedName name="BS_Investments">#REF!</definedName>
    <definedName name="BS_Investments_01">#REF!</definedName>
    <definedName name="BS_Investments_LE02">#REF!</definedName>
    <definedName name="BS_Investments_Q03">#REF!</definedName>
    <definedName name="BS_Loans_Tp_Assoc_Co">#REF!</definedName>
    <definedName name="BS_Loans_Tp_Assoc_Co_01">#REF!</definedName>
    <definedName name="BS_Loans_Tp_Assoc_Co_LE02">#REF!</definedName>
    <definedName name="BS_Loans_Tp_Assoc_Co_Q03">#REF!</definedName>
    <definedName name="BS_LT_Debt">#REF!</definedName>
    <definedName name="BS_LT_Debt_01">#REF!</definedName>
    <definedName name="BS_LT_Debt_3rd_Party">#REF!</definedName>
    <definedName name="BS_LT_Debt_3rd_Party_01">#REF!</definedName>
    <definedName name="BS_LT_Debt_3rd_Party_LE02">#REF!</definedName>
    <definedName name="BS_LT_Debt_3rd_Party_Q03">#REF!</definedName>
    <definedName name="BS_LT_Debt_LE02">#REF!</definedName>
    <definedName name="BS_LT_Debt_Q03">#REF!</definedName>
    <definedName name="BS_LT_Dec_Rest_Costs">#REF!</definedName>
    <definedName name="BS_LT_Dec_Rest_Costs_01">#REF!</definedName>
    <definedName name="BS_LT_Dec_Rest_Costs_LE02">#REF!</definedName>
    <definedName name="BS_LT_Dec_Rest_Costs_Q03">#REF!</definedName>
    <definedName name="BS_MI_CCTD_CB">#REF!</definedName>
    <definedName name="BS_MI_CCTD_CB_01">#REF!</definedName>
    <definedName name="BS_MI_CCTD_CB_LE02">#REF!</definedName>
    <definedName name="BS_MI_CCTD_CB_Q03">#REF!</definedName>
    <definedName name="BS_Min_Int_Ret_Earn">#REF!</definedName>
    <definedName name="BS_Min_Int_Ret_Earn_01">#REF!</definedName>
    <definedName name="BS_Min_Int_Ret_Earn_LE02">#REF!</definedName>
    <definedName name="BS_Min_Int_Ret_Earn_Q03">#REF!</definedName>
    <definedName name="BS_Min_Int_Ret_Earnings">#REF!</definedName>
    <definedName name="BS_Min_Int_Ret_Earnings_01">#REF!</definedName>
    <definedName name="BS_Min_Int_Ret_Earnings_LE02">#REF!</definedName>
    <definedName name="BS_Min_Int_Ret_Earnings_Q03">#REF!</definedName>
    <definedName name="BS_Net_Income">#REF!</definedName>
    <definedName name="BS_Net_Income_01">#REF!</definedName>
    <definedName name="BS_Net_Income_LE02">#REF!</definedName>
    <definedName name="BS_Net_Income_Q03">#REF!</definedName>
    <definedName name="BS_Norm_Debt">#REF!</definedName>
    <definedName name="BS_Norm_Debt_01">#REF!</definedName>
    <definedName name="BS_Norm_Debt_LE02">#REF!</definedName>
    <definedName name="BS_Norm_Debt_Q03">#REF!</definedName>
    <definedName name="BS_Norm_Fin_Payable">#REF!</definedName>
    <definedName name="BS_Norm_Fin_Payable_01">#REF!</definedName>
    <definedName name="BS_Norm_Fin_Payable_LE02">#REF!</definedName>
    <definedName name="BS_Norm_Fin_Payable_Q03">#REF!</definedName>
    <definedName name="BS_Norm_Fin_Rec">#REF!</definedName>
    <definedName name="BS_Norm_Fin_Rec_01">#REF!</definedName>
    <definedName name="BS_Norm_Fin_Rec_LE02">#REF!</definedName>
    <definedName name="BS_Norm_Fin_Rec_Q03">#REF!</definedName>
    <definedName name="BS_Oth_Comp_Income">#REF!</definedName>
    <definedName name="BS_Oth_Comp_Income_01">#REF!</definedName>
    <definedName name="BS_Oth_Comp_Income_LE02">#REF!</definedName>
    <definedName name="BS_Oth_Comp_Income_Q03">#REF!</definedName>
    <definedName name="BS_Oth_LT_Assets">#REF!</definedName>
    <definedName name="BS_Oth_LT_Assets_01">#REF!</definedName>
    <definedName name="BS_Oth_LT_Assets_LE02">#REF!</definedName>
    <definedName name="BS_Oth_LT_Assets_Q03">#REF!</definedName>
    <definedName name="BS_Oth_LT_Liab">#REF!</definedName>
    <definedName name="BS_Oth_LT_Liab_01">#REF!</definedName>
    <definedName name="BS_Oth_LT_Liab_LE02">#REF!</definedName>
    <definedName name="BS_Oth_LT_Liab_Q03">#REF!</definedName>
    <definedName name="BS_Pensions">#REF!</definedName>
    <definedName name="BS_Pensions_01">#REF!</definedName>
    <definedName name="BS_Pensions_LE02">#REF!</definedName>
    <definedName name="BS_Pensions_Q03">#REF!</definedName>
    <definedName name="BS_PPE_Accum_Depr_CB">#REF!</definedName>
    <definedName name="BS_PPE_Accum_Depr_CB_01">#REF!</definedName>
    <definedName name="BS_PPE_Accum_Depr_CB_LE02">#REF!</definedName>
    <definedName name="BS_PPE_Accum_Depr_CB_Q03">#REF!</definedName>
    <definedName name="BS_PPE_Accum_Depr_OB">#REF!</definedName>
    <definedName name="BS_PPE_Accum_Depr_OB_01">#REF!</definedName>
    <definedName name="BS_PPE_Accum_Depr_OB_LE02">#REF!</definedName>
    <definedName name="BS_PPE_Accum_Depr_OB_Q03">#REF!</definedName>
    <definedName name="BS_PPE_Closing_Bal">#REF!</definedName>
    <definedName name="BS_PPE_Closing_Bal_01">#REF!</definedName>
    <definedName name="BS_PPE_Closing_Bal_LE02">#REF!</definedName>
    <definedName name="BS_PPE_Closing_Bal_Q03">#REF!</definedName>
    <definedName name="BS_PPE_Opening_Bal">#REF!</definedName>
    <definedName name="BS_PPE_Opening_Bal_01">#REF!</definedName>
    <definedName name="BS_PPE_Opening_Bal_LE02">#REF!</definedName>
    <definedName name="BS_PPE_Opening_Bal_Q03">#REF!</definedName>
    <definedName name="BS_Provisions">#REF!</definedName>
    <definedName name="BS_Provisions_01">#REF!</definedName>
    <definedName name="BS_Provisions_LE02">#REF!</definedName>
    <definedName name="BS_Provisions_Q03">#REF!</definedName>
    <definedName name="BS_Quasi_Eq_Debt">#REF!</definedName>
    <definedName name="BS_Quasi_Eq_Debt_01">#REF!</definedName>
    <definedName name="BS_Quasi_Eq_Debt_LE02">#REF!</definedName>
    <definedName name="BS_Quasi_Eq_Debt_Q03">#REF!</definedName>
    <definedName name="BS_Quasi_Eq_Payable">#REF!</definedName>
    <definedName name="BS_Quasi_Eq_Payable_01">#REF!</definedName>
    <definedName name="BS_Quasi_Eq_Payable_LE02">#REF!</definedName>
    <definedName name="BS_Quasi_Eq_Payable_Q03">#REF!</definedName>
    <definedName name="BS_Quasi_Eq_Rec">#REF!</definedName>
    <definedName name="BS_Quasi_Eq_Rec_01">#REF!</definedName>
    <definedName name="BS_Quasi_Eq_Rec_LE02">#REF!</definedName>
    <definedName name="BS_Quasi_Eq_Rec_Q03">#REF!</definedName>
    <definedName name="BS_Ret_Earn_Transf">#REF!</definedName>
    <definedName name="BS_Ret_Earn_Transf_01">#REF!</definedName>
    <definedName name="BS_Ret_Earn_Transf_LE02">#REF!</definedName>
    <definedName name="BS_Ret_Earn_Transf_Q03">#REF!</definedName>
    <definedName name="BS_Ret_Earnings">#REF!</definedName>
    <definedName name="BS_Ret_Earnings_01">#REF!</definedName>
    <definedName name="BS_Ret_Earnings_CB">#REF!</definedName>
    <definedName name="BS_Ret_Earnings_CB_01">#REF!</definedName>
    <definedName name="BS_Ret_Earnings_CB_LE02">#REF!</definedName>
    <definedName name="BS_Ret_Earnings_CB_Q03">#REF!</definedName>
    <definedName name="BS_Ret_Earnings_LE02">#REF!</definedName>
    <definedName name="BS_Ret_Earnings_OB">#REF!</definedName>
    <definedName name="BS_Ret_Earnings_OB_01">#REF!</definedName>
    <definedName name="BS_Ret_Earnings_OB_LE02">#REF!</definedName>
    <definedName name="BS_Ret_Earnings_OB_Q03">#REF!</definedName>
    <definedName name="BS_Ret_Earnings_Q03">#REF!</definedName>
    <definedName name="BS_Sales_IG_Transf">#REF!</definedName>
    <definedName name="BS_Sales_IG_Transf_01">#REF!</definedName>
    <definedName name="BS_Sales_IG_Transf_LE02">#REF!</definedName>
    <definedName name="BS_Sales_IG_Transf_Q03">#REF!</definedName>
    <definedName name="BS_Tang_Fixed_Assets">#REF!</definedName>
    <definedName name="BS_Tang_Fixed_Assets_01">#REF!</definedName>
    <definedName name="BS_Tang_Fixed_Assets_LE02">#REF!</definedName>
    <definedName name="BS_Tang_Fixed_Assets_Q03">#REF!</definedName>
    <definedName name="BS_Tax_Payable">#REF!</definedName>
    <definedName name="BS_Tax_Payable_01">#REF!</definedName>
    <definedName name="BS_Tax_Payable_LE02">#REF!</definedName>
    <definedName name="BS_Tax_Payable_Q03">#REF!</definedName>
    <definedName name="BS_Tot_Assets">#REF!</definedName>
    <definedName name="BS_Tot_Assets_01">#REF!</definedName>
    <definedName name="BS_Tot_Assets_LE02">#REF!</definedName>
    <definedName name="BS_Tot_Assets_Q03">#REF!</definedName>
    <definedName name="BS_Tot_Cap_Emp">#REF!</definedName>
    <definedName name="BS_Tot_Cap_Emp_01">#REF!</definedName>
    <definedName name="BS_Tot_Cap_Emp_LE02">#REF!</definedName>
    <definedName name="BS_Tot_Cap_Emp_Q03">#REF!</definedName>
    <definedName name="BTN_INPC" localSheetId="27">#REF!</definedName>
    <definedName name="BTN_INPC">#REF!</definedName>
    <definedName name="bv" localSheetId="27" hidden="1">#REF!</definedName>
    <definedName name="bv" localSheetId="0" hidden="1">#REF!</definedName>
    <definedName name="bv" hidden="1">#REF!</definedName>
    <definedName name="bvmnvnmmn" localSheetId="0" hidden="1">#REF!</definedName>
    <definedName name="bvmnvnmmn" hidden="1">#REF!</definedName>
    <definedName name="bvzvcxb" localSheetId="0" hidden="1">#REF!</definedName>
    <definedName name="bvzvcxb" hidden="1">#REF!</definedName>
    <definedName name="Ç">#REF!</definedName>
    <definedName name="C.Fixos_PTA">#REF!</definedName>
    <definedName name="C.Variáveis_PET_PTA">#REF!</definedName>
    <definedName name="C_" localSheetId="27">#REF!</definedName>
    <definedName name="C_">#REF!</definedName>
    <definedName name="C_G_LAT">#N/A</definedName>
    <definedName name="C_G_LON">#N/A</definedName>
    <definedName name="C_M_LAT">#N/A</definedName>
    <definedName name="C_M_LON">#N/A</definedName>
    <definedName name="C_S_LAT">#N/A</definedName>
    <definedName name="C_S_LON">#N/A</definedName>
    <definedName name="CalcMédia">#REF!</definedName>
    <definedName name="CálcMédia">#REF!</definedName>
    <definedName name="CanplanCost">#REF!</definedName>
    <definedName name="Canplancost1">#REF!</definedName>
    <definedName name="CanPlanDepr">#REF!</definedName>
    <definedName name="CanPlanSales">#REF!</definedName>
    <definedName name="CAO_T2" localSheetId="27">#REF!</definedName>
    <definedName name="CAO_T2">#REF!</definedName>
    <definedName name="CAO_T3" localSheetId="27">#REF!</definedName>
    <definedName name="CAO_T3">#REF!</definedName>
    <definedName name="capacity_share">#REF!</definedName>
    <definedName name="CARLA" localSheetId="27" hidden="1">#REF!</definedName>
    <definedName name="CARLA" localSheetId="0" hidden="1">#REF!</definedName>
    <definedName name="CARLA" hidden="1">#REF!</definedName>
    <definedName name="Cases">#REF!</definedName>
    <definedName name="caso">#REF!</definedName>
    <definedName name="cbnm" localSheetId="27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cbnm" localSheetId="0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cbnm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cbnmghmk" localSheetId="27" hidden="1">{"'Índice'!$A$1:$K$49"}</definedName>
    <definedName name="cbnmghmk" localSheetId="0" hidden="1">{"'Índice'!$A$1:$K$49"}</definedName>
    <definedName name="cbnmghmk" hidden="1">{"'Índice'!$A$1:$K$49"}</definedName>
    <definedName name="CBV" localSheetId="27" hidden="1">{#N/A,#N/A,FALSE,"Plan1";#N/A,#N/A,FALSE,"Plan2"}</definedName>
    <definedName name="CBV" localSheetId="0" hidden="1">{#N/A,#N/A,FALSE,"Plan1";#N/A,#N/A,FALSE,"Plan2"}</definedName>
    <definedName name="CBV" hidden="1">{#N/A,#N/A,FALSE,"Plan1";#N/A,#N/A,FALSE,"Plan2"}</definedName>
    <definedName name="cc">recuperação #REF!</definedName>
    <definedName name="CCC" localSheetId="27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CCC" localSheetId="0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CCC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ççç" localSheetId="27" hidden="1">{#N/A,#N/A,FALSE,"Plan1";#N/A,#N/A,FALSE,"Plan2"}</definedName>
    <definedName name="ççç" localSheetId="0" hidden="1">{#N/A,#N/A,FALSE,"Plan1";#N/A,#N/A,FALSE,"Plan2"}</definedName>
    <definedName name="ççç" hidden="1">{#N/A,#N/A,FALSE,"Plan1";#N/A,#N/A,FALSE,"Plan2"}</definedName>
    <definedName name="cccc" localSheetId="27" hidden="1">{#N/A,#N/A,FALSE,"Plan1";#N/A,#N/A,FALSE,"Plan2"}</definedName>
    <definedName name="cccc" localSheetId="0" hidden="1">{#N/A,#N/A,FALSE,"Plan1";#N/A,#N/A,FALSE,"Plan2"}</definedName>
    <definedName name="cccc" hidden="1">{#N/A,#N/A,FALSE,"Plan1";#N/A,#N/A,FALSE,"Plan2"}</definedName>
    <definedName name="ççççççç" localSheetId="27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ççççççç" localSheetId="0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ççççççç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cccccccc" localSheetId="27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cccccccc" localSheetId="0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cccccccc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cccccccccccccc" localSheetId="27" hidden="1">#REF!</definedName>
    <definedName name="cccccccccccccc" localSheetId="0" hidden="1">#REF!</definedName>
    <definedName name="cccccccccccccc" hidden="1">#REF!</definedName>
    <definedName name="cchart1" localSheetId="27" hidden="1">#REF!</definedName>
    <definedName name="cchart1" localSheetId="0" hidden="1">#REF!</definedName>
    <definedName name="cchart1" hidden="1">#REF!</definedName>
    <definedName name="cchart10" localSheetId="27" hidden="1">#REF!</definedName>
    <definedName name="cchart10" localSheetId="0" hidden="1">#REF!</definedName>
    <definedName name="cchart10" hidden="1">#REF!</definedName>
    <definedName name="cchart11" localSheetId="0" hidden="1">#REF!</definedName>
    <definedName name="cchart11" hidden="1">#REF!</definedName>
    <definedName name="cchart12" localSheetId="0" hidden="1">#REF!</definedName>
    <definedName name="cchart12" hidden="1">#REF!</definedName>
    <definedName name="cchart13" localSheetId="0" hidden="1">#REF!</definedName>
    <definedName name="cchart13" hidden="1">#REF!</definedName>
    <definedName name="cchart14" localSheetId="0" hidden="1">#REF!</definedName>
    <definedName name="cchart14" hidden="1">#REF!</definedName>
    <definedName name="cchart15" localSheetId="0" hidden="1">#REF!</definedName>
    <definedName name="cchart15" hidden="1">#REF!</definedName>
    <definedName name="cchart16" localSheetId="0" hidden="1">#REF!</definedName>
    <definedName name="cchart16" hidden="1">#REF!</definedName>
    <definedName name="cchart17" localSheetId="0" hidden="1">#REF!</definedName>
    <definedName name="cchart17" hidden="1">#REF!</definedName>
    <definedName name="cchart18" localSheetId="0" hidden="1">#REF!</definedName>
    <definedName name="cchart18" hidden="1">#REF!</definedName>
    <definedName name="cchart19" localSheetId="0" hidden="1">#REF!</definedName>
    <definedName name="cchart19" hidden="1">#REF!</definedName>
    <definedName name="cchart2" localSheetId="0" hidden="1">#REF!</definedName>
    <definedName name="cchart2" hidden="1">#REF!</definedName>
    <definedName name="cchart20" localSheetId="0" hidden="1">#REF!</definedName>
    <definedName name="cchart20" hidden="1">#REF!</definedName>
    <definedName name="cchart21" localSheetId="0" hidden="1">#REF!</definedName>
    <definedName name="cchart21" hidden="1">#REF!</definedName>
    <definedName name="cchart22" localSheetId="0" hidden="1">#REF!</definedName>
    <definedName name="cchart22" hidden="1">#REF!</definedName>
    <definedName name="cchart23" localSheetId="0" hidden="1">#REF!</definedName>
    <definedName name="cchart23" hidden="1">#REF!</definedName>
    <definedName name="cchart24" localSheetId="0" hidden="1">#REF!</definedName>
    <definedName name="cchart24" hidden="1">#REF!</definedName>
    <definedName name="cchart25" localSheetId="0" hidden="1">#REF!</definedName>
    <definedName name="cchart25" hidden="1">#REF!</definedName>
    <definedName name="cchart26" localSheetId="0" hidden="1">#REF!</definedName>
    <definedName name="cchart26" hidden="1">#REF!</definedName>
    <definedName name="cchart27" localSheetId="0" hidden="1">#REF!</definedName>
    <definedName name="cchart27" hidden="1">#REF!</definedName>
    <definedName name="cchart28" localSheetId="0" hidden="1">#REF!</definedName>
    <definedName name="cchart28" hidden="1">#REF!</definedName>
    <definedName name="cchart29" localSheetId="0" hidden="1">#REF!</definedName>
    <definedName name="cchart29" hidden="1">#REF!</definedName>
    <definedName name="cchart3" localSheetId="0" hidden="1">#REF!</definedName>
    <definedName name="cchart3" hidden="1">#REF!</definedName>
    <definedName name="cchart31" localSheetId="0" hidden="1">#REF!</definedName>
    <definedName name="cchart31" hidden="1">#REF!</definedName>
    <definedName name="cchart32" localSheetId="0" hidden="1">#REF!</definedName>
    <definedName name="cchart32" hidden="1">#REF!</definedName>
    <definedName name="cchart4" localSheetId="0" hidden="1">#REF!</definedName>
    <definedName name="cchart4" hidden="1">#REF!</definedName>
    <definedName name="cchart5" localSheetId="0" hidden="1">#REF!</definedName>
    <definedName name="cchart5" hidden="1">#REF!</definedName>
    <definedName name="cchart6" localSheetId="0" hidden="1">#REF!</definedName>
    <definedName name="cchart6" hidden="1">#REF!</definedName>
    <definedName name="cchart7" localSheetId="0" hidden="1">#REF!</definedName>
    <definedName name="cchart7" hidden="1">#REF!</definedName>
    <definedName name="cchart8" localSheetId="0" hidden="1">#REF!</definedName>
    <definedName name="cchart8" hidden="1">#REF!</definedName>
    <definedName name="cchart9" localSheetId="0" hidden="1">#REF!</definedName>
    <definedName name="cchart9" hidden="1">#REF!</definedName>
    <definedName name="cd" localSheetId="27">{0;0;0;0;1;#N/A;0.5;0.5;0.75;0.75;2;TRUE;TRUE;FALSE;FALSE;FALSE;#N/A;1;56;#N/A;#N/A;"&amp;L&amp;7 RAMIBD05\GROUPS\EMG\DESOUSA\BRAZIL\MACHADIB\MODEL\MODEL_20.XLS -- &amp;D, &amp;T -- Page 8 of 9
Machadinho Project
&amp;R&amp;""Arial,Italic""Confidential";"&amp;L&amp;F&amp;A&amp;RPage 8"}</definedName>
    <definedName name="cd">{0;0;0;0;1;#N/A;0.5;0.5;0.75;0.75;2;TRUE;TRUE;FALSE;FALSE;FALSE;#N/A;1;56;#N/A;#N/A;"&amp;L&amp;7 RAMIBD05\GROUPS\EMG\DESOUSA\BRAZIL\MACHADIB\MODEL\MODEL_20.XLS -- &amp;D, &amp;T -- Page 8 of 9
Machadinho Project
&amp;R&amp;""Arial,Italic""Confidential";"&amp;L&amp;F&amp;A&amp;RPage 8"}</definedName>
    <definedName name="CD7190y7192">#REF!</definedName>
    <definedName name="CDDistrib.L5Pta.">#REF!</definedName>
    <definedName name="cde">#N/A</definedName>
    <definedName name="CEL" localSheetId="27">#REF!</definedName>
    <definedName name="CEL">#REF!</definedName>
    <definedName name="cel_aaorcam">#REF!</definedName>
    <definedName name="cel_Barras" localSheetId="27">#REF!</definedName>
    <definedName name="cel_Barras">#REF!</definedName>
    <definedName name="cel_MoedaSelecao">#REF!</definedName>
    <definedName name="cel_MoedaVersao">#REF!</definedName>
    <definedName name="cel_nBarras" localSheetId="27">#REF!</definedName>
    <definedName name="cel_nBarras">#REF!</definedName>
    <definedName name="cel_nDRE">#REF!</definedName>
    <definedName name="cel_nmorcam">#REF!</definedName>
    <definedName name="cel_nSheets" localSheetId="27">#REF!</definedName>
    <definedName name="cel_nSheets">#REF!</definedName>
    <definedName name="cel_PlanDRE">#REF!</definedName>
    <definedName name="cel_PrimoAno">#REF!</definedName>
    <definedName name="CELULA" localSheetId="27">#REF!</definedName>
    <definedName name="CELULA">#REF!</definedName>
    <definedName name="CEN">#REF!</definedName>
    <definedName name="cenario">#REF!</definedName>
    <definedName name="Cenários">#REF!</definedName>
    <definedName name="CENTROS_6">"'2006'.$#REF!$#REF!"</definedName>
    <definedName name="CF">#N/A</definedName>
    <definedName name="CF_Acc_Payable">#REF!</definedName>
    <definedName name="CF_Acc_Payable_LE02">#REF!</definedName>
    <definedName name="CF_Acc_Payable_Q03">#REF!</definedName>
    <definedName name="CF_Acc_Rec">#REF!</definedName>
    <definedName name="CF_Acc_Rec_LE02">#REF!</definedName>
    <definedName name="CF_Acc_Rec_Q03">#REF!</definedName>
    <definedName name="CF_Cap_Exp">#REF!</definedName>
    <definedName name="CF_Cap_Exp_LE02">#REF!</definedName>
    <definedName name="CF_Cap_Exp_Q03">#REF!</definedName>
    <definedName name="CF_Cash_Flow_In_Fin_Act">#REF!</definedName>
    <definedName name="CF_Cash_Flow_In_Fin_Act_LE02">#REF!</definedName>
    <definedName name="CF_Cash_Flow_In_Fin_Act_Q03">#REF!</definedName>
    <definedName name="CF_Cash_Flow_Inv_Act">#REF!</definedName>
    <definedName name="CF_Cash_Flow_Inv_Act_LE02">#REF!</definedName>
    <definedName name="CF_Cash_Flow_Inv_Act_Q03">#REF!</definedName>
    <definedName name="CF_Cash_From_Ops">#REF!</definedName>
    <definedName name="CF_Cash_From_Ops_LE02">#REF!</definedName>
    <definedName name="CF_Cash_From_Ops_Q03">#REF!</definedName>
    <definedName name="CF_Cash_Surplus">#REF!</definedName>
    <definedName name="CF_Cash_Surplus_LE02">#REF!</definedName>
    <definedName name="CF_Cash_Surplus_Q03">#REF!</definedName>
    <definedName name="cf_cs_asahi">#REF!</definedName>
    <definedName name="cf_cs_existente" localSheetId="27">#REF!</definedName>
    <definedName name="cf_cs_existente">#REF!</definedName>
    <definedName name="cf_cs_uhde" localSheetId="27">#REF!</definedName>
    <definedName name="cf_cs_uhde">#REF!</definedName>
    <definedName name="CF_Div_Paid">#REF!</definedName>
    <definedName name="CF_Div_Paid_LE02">#REF!</definedName>
    <definedName name="CF_Div_Paid_Parent_Co">#REF!</definedName>
    <definedName name="CF_Div_Paid_Parent_Co_LE02">#REF!</definedName>
    <definedName name="CF_Div_Paid_Parent_Co_Q03">#REF!</definedName>
    <definedName name="CF_Div_Paid_Q03">#REF!</definedName>
    <definedName name="CF_Div_Paid_To_MI">#REF!</definedName>
    <definedName name="CF_Div_Paid_To_MI_LE02">#REF!</definedName>
    <definedName name="CF_Div_Paid_To_MI_Q03">#REF!</definedName>
    <definedName name="CF_Divs_Earn_Assoc_Coms">#REF!</definedName>
    <definedName name="CF_Divs_Earn_Assoc_Coms_LE02">#REF!</definedName>
    <definedName name="CF_Divs_Earn_Assoc_Coms_Q03">#REF!</definedName>
    <definedName name="CF_GP_Net_Inc_Aft_Tax">#REF!</definedName>
    <definedName name="CF_GP_Net_Inc_Aft_Tax_LE02">#REF!</definedName>
    <definedName name="CF_GP_Net_Inc_Aft_Tax_Q03">#REF!</definedName>
    <definedName name="CF_IG_Norm_Debt">#REF!</definedName>
    <definedName name="CF_IG_Norm_Debt_LE02">#REF!</definedName>
    <definedName name="CF_IG_Norm_Debt_Q03">#REF!</definedName>
    <definedName name="CF_Incr_Or_Decr_In_Cash">#REF!</definedName>
    <definedName name="CF_Incr_Or_Decr_In_Cash_LE02">#REF!</definedName>
    <definedName name="CF_Incr_Or_Decr_In_Cash_Q03">#REF!</definedName>
    <definedName name="CF_Inventories">#REF!</definedName>
    <definedName name="CF_Inventories_LE02">#REF!</definedName>
    <definedName name="CF_Inventories_Q03">#REF!</definedName>
    <definedName name="CF_LT_Debt">#REF!</definedName>
    <definedName name="CF_LT_Debt_3rd_Party">#REF!</definedName>
    <definedName name="CF_LT_Debt_3rd_Party_LE02">#REF!</definedName>
    <definedName name="CF_LT_Debt_3rd_Party_Q03">#REF!</definedName>
    <definedName name="CF_LT_Debt_LE02">#REF!</definedName>
    <definedName name="CF_LT_Debt_Q03">#REF!</definedName>
    <definedName name="CF_Min_Int_Cap">#REF!</definedName>
    <definedName name="CF_Min_Int_Cap_LE02">#REF!</definedName>
    <definedName name="CF_Min_Int_Cap_Q03">#REF!</definedName>
    <definedName name="CF_Move_In_Parents_Cap">#REF!</definedName>
    <definedName name="CF_Move_In_Parents_Cap_LE02">#REF!</definedName>
    <definedName name="CF_Move_In_Parents_Cap_Q03">#REF!</definedName>
    <definedName name="CF_Move_In_Work_Cap">#REF!</definedName>
    <definedName name="CF_Move_In_Work_Cap_LE02">#REF!</definedName>
    <definedName name="CF_Move_In_Work_Cap_Q03">#REF!</definedName>
    <definedName name="CF_Move_Loan_Bal">#REF!</definedName>
    <definedName name="CF_Move_Loan_Bal_LE02">#REF!</definedName>
    <definedName name="CF_Move_Loan_Bal_Q03">#REF!</definedName>
    <definedName name="CF_Net_Div_Paid_Or_Rec">#REF!</definedName>
    <definedName name="CF_Net_Div_Paid_Or_Rec_LE02">#REF!</definedName>
    <definedName name="CF_Net_Div_Paid_Or_Rec_Q03">#REF!</definedName>
    <definedName name="CF_Net_Inv">#REF!</definedName>
    <definedName name="CF_Net_Inv_LE02">#REF!</definedName>
    <definedName name="CF_Net_Inv_Q03">#REF!</definedName>
    <definedName name="CF_Non_Cash_Adj">#REF!</definedName>
    <definedName name="CF_Non_Cash_Adj_Inv">#REF!</definedName>
    <definedName name="CF_Non_Cash_Adj_Inv_LE02">#REF!</definedName>
    <definedName name="CF_Non_Cash_Adj_Inv_Q03">#REF!</definedName>
    <definedName name="CF_Non_Cash_Adj_LE02">#REF!</definedName>
    <definedName name="CF_Non_Cash_Adj_Q03">#REF!</definedName>
    <definedName name="CF_Non_Cash_Adjust">#REF!</definedName>
    <definedName name="CF_Non_Cash_Adjust_LE02">#REF!</definedName>
    <definedName name="CF_Non_Cash_Adjust_Q03">#REF!</definedName>
    <definedName name="CF_Oth_Cash">#REF!</definedName>
    <definedName name="CF_Oth_Cash_Incl_NCA">#REF!</definedName>
    <definedName name="CF_Oth_Cash_Incl_NCA_LE02">#REF!</definedName>
    <definedName name="CF_Oth_Cash_Incl_NCA_Q03">#REF!</definedName>
    <definedName name="CF_Oth_Cash_LE02">#REF!</definedName>
    <definedName name="CF_Oth_Cash_Q03">#REF!</definedName>
    <definedName name="CF_Provisions">#REF!</definedName>
    <definedName name="CF_Provisions_LE02">#REF!</definedName>
    <definedName name="CF_Provisions_Q03">#REF!</definedName>
    <definedName name="CF_Quasi_Equity">#REF!</definedName>
    <definedName name="CF_Quasi_Equity_LE02">#REF!</definedName>
    <definedName name="CF_Quasi_Equity_Q03">#REF!</definedName>
    <definedName name="CF_Sales_FA">#REF!</definedName>
    <definedName name="CF_Sales_FA_Inc_NCA">#REF!</definedName>
    <definedName name="CF_Sales_FA_Inc_NCA_LE02">#REF!</definedName>
    <definedName name="CF_Sales_FA_Inc_NCA_Q03">#REF!</definedName>
    <definedName name="CF_Sales_FA_LE02">#REF!</definedName>
    <definedName name="CF_Sales_FA_Q03">#REF!</definedName>
    <definedName name="CF_Short_Term_Debt">#REF!</definedName>
    <definedName name="CF_Short_Term_Debt_LE02">#REF!</definedName>
    <definedName name="CF_Short_Term_Debt_Q03">#REF!</definedName>
    <definedName name="CF_Tax_Payable">#REF!</definedName>
    <definedName name="CF_Tax_Payable_LE02">#REF!</definedName>
    <definedName name="CF_Tax_Payable_Q03">#REF!</definedName>
    <definedName name="CF_Tot_Depr_Depl_Amort">#REF!</definedName>
    <definedName name="CF_Tot_Depr_Depl_Amort_LE02">#REF!</definedName>
    <definedName name="CF_Tot_Depr_Depl_Amort_Q03">#REF!</definedName>
    <definedName name="cfd" localSheetId="27">#REF!</definedName>
    <definedName name="cfd">#REF!</definedName>
    <definedName name="CFTOT_">#REF!</definedName>
    <definedName name="CFTOT_A">#REF!</definedName>
    <definedName name="CG_DE_PARA_PASSIVO" localSheetId="0">#REF!</definedName>
    <definedName name="CG_DE_PARA_PASSIVO">#REF!</definedName>
    <definedName name="cghm" localSheetId="27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cghm" localSheetId="0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cghm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cghmghjmkgh" localSheetId="27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cghmghjmkgh" localSheetId="0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cghmghjmkgh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CHAV" localSheetId="27">#REF!</definedName>
    <definedName name="CHAV">#REF!</definedName>
    <definedName name="Chave_Concatenar">#REF!</definedName>
    <definedName name="chaves" localSheetId="27">#REF!</definedName>
    <definedName name="chaves">#REF!</definedName>
    <definedName name="check_BEI1" localSheetId="27">#REF!</definedName>
    <definedName name="check_BEI1">#REF!</definedName>
    <definedName name="check_BEI2" localSheetId="27">#REF!</definedName>
    <definedName name="check_BEI2">#REF!</definedName>
    <definedName name="check_global" localSheetId="27">#REF!</definedName>
    <definedName name="check_global">#REF!</definedName>
    <definedName name="check_LT" localSheetId="27">#REF!</definedName>
    <definedName name="check_LT">#REF!</definedName>
    <definedName name="chmgbnmk" localSheetId="27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chmgbnmk" localSheetId="0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chmgbnmk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cl2disp_cl2elet">#REF!</definedName>
    <definedName name="CLAS_ECO">#N/A</definedName>
    <definedName name="CLAS_LOC">#N/A</definedName>
    <definedName name="cloro_monsanto">#REF!</definedName>
    <definedName name="cmai29">#REF!</definedName>
    <definedName name="CMI_LS_ANALITICO" localSheetId="27">#REF!</definedName>
    <definedName name="CMI_LS_ANALITICO">#REF!</definedName>
    <definedName name="cnmg" localSheetId="27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cnmg" localSheetId="0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cnmg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cnmghm" localSheetId="27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cnmghm" localSheetId="0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cnmghm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COD_DIST">#N/A</definedName>
    <definedName name="COD_ME_R">#N/A</definedName>
    <definedName name="COD_MI_R">#N/A</definedName>
    <definedName name="COD_MUNI">#N/A</definedName>
    <definedName name="Cod_produto">#REF!</definedName>
    <definedName name="COD_UF">#N/A</definedName>
    <definedName name="Codigo_Datas_Financ" localSheetId="0">#REF!</definedName>
    <definedName name="Codigo_Datas_Financ">#REF!</definedName>
    <definedName name="Codigo_Datas_Financ_Limite" localSheetId="0">#REF!</definedName>
    <definedName name="Codigo_Datas_Financ_Limite">#REF!</definedName>
    <definedName name="COEFICIENTE_TECNICO_CAXIAS" localSheetId="27">#REF!</definedName>
    <definedName name="COEFICIENTE_TECNICO_CAXIAS">#REF!</definedName>
    <definedName name="COFINS">#REF!</definedName>
    <definedName name="col_Ano">#REF!</definedName>
    <definedName name="col_Ano_Negocio">#REF!</definedName>
    <definedName name="col_RecLiquidaMI">#REF!</definedName>
    <definedName name="combinada">#REF!</definedName>
    <definedName name="Comentado_Conta_Pesquisa">#REF!</definedName>
    <definedName name="compra_terreno" localSheetId="27">#REF!</definedName>
    <definedName name="compra_terreno">#REF!</definedName>
    <definedName name="COMTK" localSheetId="27">#REF!</definedName>
    <definedName name="COMTK">#REF!</definedName>
    <definedName name="CONCILIAÇÃO" localSheetId="27">#REF!</definedName>
    <definedName name="CONCILIAÇÃO">#REF!</definedName>
    <definedName name="conquista">#REF!</definedName>
    <definedName name="cons">#REF!</definedName>
    <definedName name="considera_ICMS_credito_PVC">#REF!</definedName>
    <definedName name="considera_venda_H2">#REF!</definedName>
    <definedName name="consol" localSheetId="27">#REF!</definedName>
    <definedName name="consol">#REF!</definedName>
    <definedName name="consol_acumulado_fim">#REF!</definedName>
    <definedName name="consol_acumulado_inicio">#REF!</definedName>
    <definedName name="CONSOL_CMI" localSheetId="27">#REF!</definedName>
    <definedName name="CONSOL_CMI">#REF!</definedName>
    <definedName name="CONSOL_LS" localSheetId="27">#REF!</definedName>
    <definedName name="CONSOL_LS">#REF!</definedName>
    <definedName name="consol_mes_inicio">#REF!</definedName>
    <definedName name="consol_trimest">#REF!</definedName>
    <definedName name="consol_trimestre_anterior_fim">#REF!</definedName>
    <definedName name="consol_trimestre_anterior_inicio">#REF!</definedName>
    <definedName name="consol_trimestre_fim">#REF!</definedName>
    <definedName name="consol_trimestre_inicio">#REF!</definedName>
    <definedName name="Consolidada">#N/A</definedName>
    <definedName name="CONSOLIDADO">#REF!</definedName>
    <definedName name="consolidation1" localSheetId="27">#REF!</definedName>
    <definedName name="consolidation1">#REF!</definedName>
    <definedName name="consolidation2" localSheetId="27">#REF!</definedName>
    <definedName name="consolidation2">#REF!</definedName>
    <definedName name="CONSUMO_BUTADIENO_ESTIRENO_EM_TONELADAS">#REF!</definedName>
    <definedName name="cont_cs">#REF!</definedName>
    <definedName name="cont_cs_asahi">#REF!</definedName>
    <definedName name="cont_cs_uhde" localSheetId="27">#REF!</definedName>
    <definedName name="cont_cs_uhde">#REF!</definedName>
    <definedName name="cont_dce">#REF!</definedName>
    <definedName name="Conta">#REF!</definedName>
    <definedName name="contasareceber" localSheetId="27">#REF!</definedName>
    <definedName name="contasareceber">#REF!</definedName>
    <definedName name="Country">#REF!</definedName>
    <definedName name="CPD_CCO">recuperação #REF!</definedName>
    <definedName name="CProdConcAgMP">#REF!</definedName>
    <definedName name="CProdConcAgTrat">#REF!</definedName>
    <definedName name="CProdZnMP">#REF!</definedName>
    <definedName name="CProdZnTrat">#REF!</definedName>
    <definedName name="CREN" localSheetId="27">#REF!</definedName>
    <definedName name="CREN">#REF!</definedName>
    <definedName name="_xlnm.Criteria" localSheetId="27">#REF!</definedName>
    <definedName name="_xlnm.Criteria">#REF!</definedName>
    <definedName name="Criterios_IM">"$'1998'.$#REF!$#REF!:$#REF!$#REF!"</definedName>
    <definedName name="CRITÉRIOS_IM" localSheetId="27">#REF!</definedName>
    <definedName name="CRITÉRIOS_IM">#REF!</definedName>
    <definedName name="CS" localSheetId="27">#REF!</definedName>
    <definedName name="CS" localSheetId="0">#REF!</definedName>
    <definedName name="CS">#REF!</definedName>
    <definedName name="cs_nova_prep">#REF!</definedName>
    <definedName name="CSeIR">#REF!</definedName>
    <definedName name="CSeIRestimado">#REF!</definedName>
    <definedName name="CSLL">#REF!</definedName>
    <definedName name="ct_cloro_uhde">#REF!</definedName>
    <definedName name="ct_energ_utilid_DCE">#REF!</definedName>
    <definedName name="ct_energia_asahi">#REF!</definedName>
    <definedName name="ct_energia_DCE_uhde">#REF!</definedName>
    <definedName name="ct_energia_uhde">#REF!</definedName>
    <definedName name="ct_eteno_uhde">#REF!</definedName>
    <definedName name="curta_1617" localSheetId="27">#REF!</definedName>
    <definedName name="curta_1617">#REF!</definedName>
    <definedName name="CURTA1" localSheetId="27">#REF!</definedName>
    <definedName name="CURTA1">#REF!</definedName>
    <definedName name="CUSTO_DAS_DESAPROPRIAÇÕES" localSheetId="27">#REF!</definedName>
    <definedName name="CUSTO_DAS_DESAPROPRIAÇÕES">#REF!</definedName>
    <definedName name="custo_desativacao">#REF!</definedName>
    <definedName name="CUSTO_FIXO_CAXIAS">#REF!</definedName>
    <definedName name="custo_fixo_cs_nova">#REF!</definedName>
    <definedName name="custo_fixo_dce_nova">#REF!</definedName>
    <definedName name="CUSTO_FIXO_TRIUNFO_E_CABO">#REF!</definedName>
    <definedName name="CUSTO_FIXO_VARIÁVEL_DESPESA">#REF!</definedName>
    <definedName name="custo_oper_01">#REF!</definedName>
    <definedName name="custo_oper_02">#REF!</definedName>
    <definedName name="custo_oper_03">#REF!</definedName>
    <definedName name="custo_oper_04">#REF!</definedName>
    <definedName name="custo_oper_05">#REF!</definedName>
    <definedName name="custo_oper_06">#REF!</definedName>
    <definedName name="custo_oper_07">#REF!</definedName>
    <definedName name="custo_oper_08">#REF!</definedName>
    <definedName name="custo_oper_09">#REF!</definedName>
    <definedName name="custo_oper_10">#REF!</definedName>
    <definedName name="custo_var_DCE_01">#REF!</definedName>
    <definedName name="custo_var_DCE_02">#REF!</definedName>
    <definedName name="custo_var_DCE_03">#REF!</definedName>
    <definedName name="custo_var_DCE_04">#REF!</definedName>
    <definedName name="custo_var_DCE_05">#REF!</definedName>
    <definedName name="custo_var_DCE_06">#REF!</definedName>
    <definedName name="custo_var_DCE_07">#REF!</definedName>
    <definedName name="custo_var_DCE_08">#REF!</definedName>
    <definedName name="custo_var_DCE_09">#REF!</definedName>
    <definedName name="custo_var_DCE_10">#REF!</definedName>
    <definedName name="custo_var_DCE_11">#REF!</definedName>
    <definedName name="CUSTO_VARIÁVEL_DE_VENDAS_FRETE">#REF!</definedName>
    <definedName name="custoprod" localSheetId="27" hidden="1">{#N/A,#N/A,FALSE,"Brazil Summary";#N/A,#N/A,FALSE,"SEA CIF Summary";#N/A,#N/A,FALSE,"USGC Contract";#N/A,#N/A,FALSE,"USGC Spot";#N/A,#N/A,FALSE,"Brazil Base Cycle ";#N/A,#N/A,FALSE,"Brazil Base Trend";#N/A,#N/A,FALSE,"Brazil Low Cycle";#N/A,#N/A,FALSE,"Brazil Low Trend";#N/A,#N/A,FALSE,"Variables"}</definedName>
    <definedName name="custoprod" localSheetId="0" hidden="1">{#N/A,#N/A,FALSE,"Brazil Summary";#N/A,#N/A,FALSE,"SEA CIF Summary";#N/A,#N/A,FALSE,"USGC Contract";#N/A,#N/A,FALSE,"USGC Spot";#N/A,#N/A,FALSE,"Brazil Base Cycle ";#N/A,#N/A,FALSE,"Brazil Base Trend";#N/A,#N/A,FALSE,"Brazil Low Cycle";#N/A,#N/A,FALSE,"Brazil Low Trend";#N/A,#N/A,FALSE,"Variables"}</definedName>
    <definedName name="custoprod" hidden="1">{#N/A,#N/A,FALSE,"Brazil Summary";#N/A,#N/A,FALSE,"SEA CIF Summary";#N/A,#N/A,FALSE,"USGC Contract";#N/A,#N/A,FALSE,"USGC Spot";#N/A,#N/A,FALSE,"Brazil Base Cycle ";#N/A,#N/A,FALSE,"Brazil Base Trend";#N/A,#N/A,FALSE,"Brazil Low Cycle";#N/A,#N/A,FALSE,"Brazil Low Trend";#N/A,#N/A,FALSE,"Variables"}</definedName>
    <definedName name="CustosExploraçãoParâmetros" localSheetId="27" hidden="1">#REF!</definedName>
    <definedName name="CustosExploraçãoParâmetros" localSheetId="0" hidden="1">#REF!</definedName>
    <definedName name="CustosExploraçãoParâmetros" hidden="1">#REF!</definedName>
    <definedName name="CustosExploraçãoValores" localSheetId="27" hidden="1">#REF!</definedName>
    <definedName name="CustosExploraçãoValores" localSheetId="0" hidden="1">#REF!</definedName>
    <definedName name="CustosExploraçãoValores" hidden="1">#REF!</definedName>
    <definedName name="CV" localSheetId="27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CV" localSheetId="0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CV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cv_DCE_sem_mp">#REF!</definedName>
    <definedName name="cv_existente_sem_energia" localSheetId="27">#REF!</definedName>
    <definedName name="cv_existente_sem_energia">#REF!</definedName>
    <definedName name="cv_sem_energia_asahi">#REF!</definedName>
    <definedName name="cv_sem_energia_uhde">#REF!</definedName>
    <definedName name="cvcvc">#N/A</definedName>
    <definedName name="Cwvu.GREY_ALL." hidden="1">#REF!</definedName>
    <definedName name="Cwvy.GREY_ALL._dcf" hidden="1">#REF!</definedName>
    <definedName name="cxzczxcx" localSheetId="27" hidden="1">#REF!</definedName>
    <definedName name="cxzczxcx" localSheetId="0" hidden="1">#REF!</definedName>
    <definedName name="cxzczxcx" hidden="1">#REF!</definedName>
    <definedName name="czxcxzcz" localSheetId="27" hidden="1">#REF!</definedName>
    <definedName name="czxcxzcz" localSheetId="0" hidden="1">#REF!</definedName>
    <definedName name="czxcxzcz" hidden="1">#REF!</definedName>
    <definedName name="d" localSheetId="27">#REF!</definedName>
    <definedName name="d" localSheetId="0" hidden="1">{"cap_structure",#N/A,FALSE,"Graph-Mkt Cap";"price",#N/A,FALSE,"Graph-Price";"ebit",#N/A,FALSE,"Graph-EBITDA";"ebitda",#N/A,FALSE,"Graph-EBITDA"}</definedName>
    <definedName name="d">#REF!</definedName>
    <definedName name="dadada">#REF!</definedName>
    <definedName name="dadf">#REF!</definedName>
    <definedName name="dados_ok" hidden="1">{#N/A,#N/A,FALSE,"NET";#N/A,#N/A,FALSE,"caxi";#N/A,#N/A,FALSE,"nhai";#N/A,#N/A,FALSE,"urui";#N/A,#N/A,FALSE,"cali";#N/A,#N/A,FALSE,"joii";#N/A,#N/A,FALSE,"hol";#N/A,#N/A,FALSE,"poa";#N/A,#N/A,FALSE,"pel";#N/A,#N/A,FALSE,"cha";#N/A,#N/A,FALSE,"rgr";#N/A,#N/A,FALSE,"ere";#N/A,#N/A,FALSE,"scr";#N/A,#N/A,FALSE,"cri";#N/A,#N/A,FALSE,"bag";#N/A,#N/A,FALSE,"pfu";#N/A,#N/A,FALSE,"lit";#N/A,#N/A,FALSE,"mmd";#N/A,#N/A,FALSE,"sma";#N/A,#N/A,FALSE,"btg";#N/A,#N/A,FALSE,"far";#N/A,#N/A,FALSE,"laj";#N/A,#N/A,FALSE,"flo";#N/A,#N/A,FALSE,"076";#N/A,#N/A,FALSE,"iflo";#N/A,#N/A,FALSE,"blu"}</definedName>
    <definedName name="dados2" hidden="1">{#N/A,#N/A,FALSE,"NET";#N/A,#N/A,FALSE,"caxi";#N/A,#N/A,FALSE,"nhai";#N/A,#N/A,FALSE,"urui";#N/A,#N/A,FALSE,"cali";#N/A,#N/A,FALSE,"joii";#N/A,#N/A,FALSE,"hol";#N/A,#N/A,FALSE,"poa";#N/A,#N/A,FALSE,"pel";#N/A,#N/A,FALSE,"cha";#N/A,#N/A,FALSE,"rgr";#N/A,#N/A,FALSE,"ere";#N/A,#N/A,FALSE,"scr";#N/A,#N/A,FALSE,"cri";#N/A,#N/A,FALSE,"bag";#N/A,#N/A,FALSE,"pfu";#N/A,#N/A,FALSE,"lit";#N/A,#N/A,FALSE,"mmd";#N/A,#N/A,FALSE,"sma";#N/A,#N/A,FALSE,"btg";#N/A,#N/A,FALSE,"far";#N/A,#N/A,FALSE,"laj";#N/A,#N/A,FALSE,"flo";#N/A,#N/A,FALSE,"076";#N/A,#N/A,FALSE,"iflo";#N/A,#N/A,FALSE,"blu"}</definedName>
    <definedName name="dados3" hidden="1">{#N/A,#N/A,FALSE,"NET";#N/A,#N/A,FALSE,"caxi";#N/A,#N/A,FALSE,"nhai";#N/A,#N/A,FALSE,"urui";#N/A,#N/A,FALSE,"cali";#N/A,#N/A,FALSE,"joii";#N/A,#N/A,FALSE,"hol";#N/A,#N/A,FALSE,"poa";#N/A,#N/A,FALSE,"pel";#N/A,#N/A,FALSE,"cha";#N/A,#N/A,FALSE,"rgr";#N/A,#N/A,FALSE,"ere";#N/A,#N/A,FALSE,"scr";#N/A,#N/A,FALSE,"cri";#N/A,#N/A,FALSE,"bag";#N/A,#N/A,FALSE,"pfu";#N/A,#N/A,FALSE,"lit";#N/A,#N/A,FALSE,"mmd";#N/A,#N/A,FALSE,"sma";#N/A,#N/A,FALSE,"btg";#N/A,#N/A,FALSE,"far";#N/A,#N/A,FALSE,"laj";#N/A,#N/A,FALSE,"flo";#N/A,#N/A,FALSE,"076";#N/A,#N/A,FALSE,"iflo";#N/A,#N/A,FALSE,"blu"}</definedName>
    <definedName name="DANIEL" localSheetId="27">{0;0;0;0;1;#N/A;0.5;0.5;0.75;0.75;2;TRUE;TRUE;FALSE;FALSE;FALSE;#N/A;1;#N/A;1;1;"&amp;L&amp;7 RAMIBD05\GROUPS\EMG\DESOUSA\BRAZIL\MACHADIB\MODEL\MODEL_12.XLS -- &amp;D, &amp;T -- Page &amp;P of &amp;N
&amp;7";"&amp;L&amp;F&amp;A&amp;RPage&amp;P"}</definedName>
    <definedName name="DANIEL">{0;0;0;0;1;#N/A;0.5;0.5;0.75;0.75;2;TRUE;TRUE;FALSE;FALSE;FALSE;#N/A;1;#N/A;1;1;"&amp;L&amp;7 RAMIBD05\GROUPS\EMG\DESOUSA\BRAZIL\MACHADIB\MODEL\MODEL_12.XLS -- &amp;D, &amp;T -- Page &amp;P of &amp;N
&amp;7";"&amp;L&amp;F&amp;A&amp;RPage&amp;P"}</definedName>
    <definedName name="DANIEL2" localSheetId="27">{0;0;0;0;1;#N/A;0.5;0.5;0.75;0.75;2;TRUE;TRUE;FALSE;FALSE;FALSE;#N/A;1;#N/A;1;1;"&amp;L&amp;7 RAMIBD05\GROUPS\EMG\DESOUSA\BRAZIL\MACHADIB\MODEL\MODEL_12.XLS -- &amp;D, &amp;T -- Page &amp;P of &amp;N
&amp;7";"&amp;L&amp;F&amp;A&amp;RPage&amp;P"}</definedName>
    <definedName name="DANIEL2">{0;0;0;0;1;#N/A;0.5;0.5;0.75;0.75;2;TRUE;TRUE;FALSE;FALSE;FALSE;#N/A;1;#N/A;1;1;"&amp;L&amp;7 RAMIBD05\GROUPS\EMG\DESOUSA\BRAZIL\MACHADIB\MODEL\MODEL_12.XLS -- &amp;D, &amp;T -- Page &amp;P of &amp;N
&amp;7";"&amp;L&amp;F&amp;A&amp;RPage&amp;P"}</definedName>
    <definedName name="dasdasd" localSheetId="27" hidden="1">#REF!</definedName>
    <definedName name="dasdasd" localSheetId="0" hidden="1">#REF!</definedName>
    <definedName name="dasdasd" hidden="1">#REF!</definedName>
    <definedName name="data" localSheetId="0">#REF!</definedName>
    <definedName name="Data">#REF!</definedName>
    <definedName name="Data.Rec.Sist.99_semLegenda">#REF!</definedName>
    <definedName name="data_final_concessao">#REF!</definedName>
    <definedName name="data_projecao">#REF!</definedName>
    <definedName name="data_projecao_anos" localSheetId="0">#REF!</definedName>
    <definedName name="data_projecao_anos">#REF!</definedName>
    <definedName name="data_rel_oper" localSheetId="27">#REF!</definedName>
    <definedName name="data_rel_oper">#REF!</definedName>
    <definedName name="DATA1" localSheetId="27">#REF!</definedName>
    <definedName name="DATA1">#REF!</definedName>
    <definedName name="DATA2" localSheetId="27">#REF!</definedName>
    <definedName name="DATA2">#REF!</definedName>
    <definedName name="DataCessãoExploração" localSheetId="0" hidden="1">#REF!</definedName>
    <definedName name="DataCessãoExploração" hidden="1">#REF!</definedName>
    <definedName name="DATAS">#REF!</definedName>
    <definedName name="DatasRec.Sáb.98">#REF!</definedName>
    <definedName name="DatasRec.Sáb.99">#REF!</definedName>
    <definedName name="DatasRec.Sist.2000">#REF!</definedName>
    <definedName name="DatasRec.Sist.98">#REF!</definedName>
    <definedName name="DatasRec.Sist.98_semLegenda">#REF!</definedName>
    <definedName name="DatasRec.Sist.99">#REF!</definedName>
    <definedName name="DatasToTalGlobal">#REF!</definedName>
    <definedName name="DCD" localSheetId="27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DCD" localSheetId="0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DCD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dchart26" localSheetId="27" hidden="1">#REF!</definedName>
    <definedName name="dchart26" localSheetId="0" hidden="1">#REF!</definedName>
    <definedName name="dchart26" hidden="1">#REF!</definedName>
    <definedName name="dchart31" localSheetId="27" hidden="1">#REF!</definedName>
    <definedName name="dchart31" localSheetId="0" hidden="1">#REF!</definedName>
    <definedName name="dchart31" hidden="1">#REF!</definedName>
    <definedName name="dd" localSheetId="27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dd" localSheetId="0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dd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DDD">#N/A</definedName>
    <definedName name="dddd">#N/A</definedName>
    <definedName name="ddddd" localSheetId="27" hidden="1">{#N/A,#N/A,FALSE,"Plan1";#N/A,#N/A,FALSE,"Plan2"}</definedName>
    <definedName name="ddddd" localSheetId="0" hidden="1">{#N/A,#N/A,FALSE,"Plan1";#N/A,#N/A,FALSE,"Plan2"}</definedName>
    <definedName name="ddddd" hidden="1">{#N/A,#N/A,FALSE,"Plan1";#N/A,#N/A,FALSE,"Plan2"}</definedName>
    <definedName name="dddddd" hidden="1">{"FCB_ALL",#N/A,FALSE,"FCB";"GREY_ALL",#N/A,FALSE,"GREY"}</definedName>
    <definedName name="dddddddddd">#N/A</definedName>
    <definedName name="dde" localSheetId="27" hidden="1">#REF!</definedName>
    <definedName name="dde" localSheetId="0" hidden="1">#REF!</definedName>
    <definedName name="dde" hidden="1">#REF!</definedName>
    <definedName name="ddgfdvgdg" localSheetId="27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ddgfdvgdg" localSheetId="0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ddgfdvgdg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ddhdt" localSheetId="27">#REF!</definedName>
    <definedName name="ddhdt">#REF!</definedName>
    <definedName name="dds" localSheetId="27">{0;0;0;0;1;#N/A;0.5;0.5;0.75;0.75;2;TRUE;TRUE;FALSE;FALSE;FALSE;#N/A;1;#N/A;1;1;"&amp;L&amp;7 RAMIBD05\GROUPS\EMG\DESOUSA\BRAZIL\MACHADIB\MODEL\MODEL_12.XLS -- &amp;D, &amp;T -- Page &amp;P of &amp;N
&amp;7";"&amp;L&amp;F&amp;A&amp;RPage&amp;P"}</definedName>
    <definedName name="dds">{0;0;0;0;1;#N/A;0.5;0.5;0.75;0.75;2;TRUE;TRUE;FALSE;FALSE;FALSE;#N/A;1;#N/A;1;1;"&amp;L&amp;7 RAMIBD05\GROUPS\EMG\DESOUSA\BRAZIL\MACHADIB\MODEL\MODEL_12.XLS -- &amp;D, &amp;T -- Page &amp;P of &amp;N
&amp;7";"&amp;L&amp;F&amp;A&amp;RPage&amp;P"}</definedName>
    <definedName name="deee" localSheetId="27" hidden="1">#REF!</definedName>
    <definedName name="deee" localSheetId="0" hidden="1">#REF!</definedName>
    <definedName name="deee" hidden="1">#REF!</definedName>
    <definedName name="demais" localSheetId="27" hidden="1">{#N/A,#N/A,FALSE,"Aging Summary";#N/A,#N/A,FALSE,"Ratio Analysis";#N/A,#N/A,FALSE,"Test 120 Day Accts";#N/A,#N/A,FALSE,"Tickmarks"}</definedName>
    <definedName name="demais" localSheetId="0" hidden="1">{#N/A,#N/A,FALSE,"Aging Summary";#N/A,#N/A,FALSE,"Ratio Analysis";#N/A,#N/A,FALSE,"Test 120 Day Accts";#N/A,#N/A,FALSE,"Tickmarks"}</definedName>
    <definedName name="demais" hidden="1">{#N/A,#N/A,FALSE,"Aging Summary";#N/A,#N/A,FALSE,"Ratio Analysis";#N/A,#N/A,FALSE,"Test 120 Day Accts";#N/A,#N/A,FALSE,"Tickmarks"}</definedName>
    <definedName name="DemRes00" localSheetId="27">#REF!</definedName>
    <definedName name="DemRes00">#REF!</definedName>
    <definedName name="DemRes01" localSheetId="27">#REF!</definedName>
    <definedName name="DemRes01">#REF!</definedName>
    <definedName name="depr_01">#REF!</definedName>
    <definedName name="depr_02">#REF!</definedName>
    <definedName name="depr_03">#REF!</definedName>
    <definedName name="depr_04">#REF!</definedName>
    <definedName name="depr_05">#REF!</definedName>
    <definedName name="depr_06">#REF!</definedName>
    <definedName name="depr_07">#REF!</definedName>
    <definedName name="depr_08">#REF!</definedName>
    <definedName name="depr_09">#REF!</definedName>
    <definedName name="depr_10">#REF!</definedName>
    <definedName name="depreciaciones" localSheetId="27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depreciaciones" localSheetId="0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depreciaciones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der">#N/A</definedName>
    <definedName name="des" localSheetId="27" hidden="1">{#N/A,#N/A,FALSE,"Plan1";#N/A,#N/A,FALSE,"Plan2"}</definedName>
    <definedName name="des" localSheetId="0" hidden="1">{#N/A,#N/A,FALSE,"Plan1";#N/A,#N/A,FALSE,"Plan2"}</definedName>
    <definedName name="des" hidden="1">{#N/A,#N/A,FALSE,"Plan1";#N/A,#N/A,FALSE,"Plan2"}</definedName>
    <definedName name="desc" localSheetId="27" hidden="1">{#N/A,#N/A,FALSE,"Plan1";#N/A,#N/A,FALSE,"Plan2"}</definedName>
    <definedName name="desc" localSheetId="0" hidden="1">{#N/A,#N/A,FALSE,"Plan1";#N/A,#N/A,FALSE,"Plan2"}</definedName>
    <definedName name="desc" hidden="1">{#N/A,#N/A,FALSE,"Plan1";#N/A,#N/A,FALSE,"Plan2"}</definedName>
    <definedName name="DESC1" localSheetId="27">#REF!</definedName>
    <definedName name="DESC1">#REF!</definedName>
    <definedName name="DESCONTADO" localSheetId="27">#REF!</definedName>
    <definedName name="DESCONTADO">#REF!</definedName>
    <definedName name="DESP" localSheetId="27">#REF!</definedName>
    <definedName name="DESP">#REF!</definedName>
    <definedName name="Desp_Conta_Base" localSheetId="0">#REF!</definedName>
    <definedName name="Desp_Conta_Base">#REF!</definedName>
    <definedName name="Desp_Var_Oper" localSheetId="0">#REF!</definedName>
    <definedName name="Desp_Var_Oper">#REF!</definedName>
    <definedName name="DESPFIN">#N/A</definedName>
    <definedName name="DEST1" localSheetId="27">#REF!</definedName>
    <definedName name="DEST1">#REF!</definedName>
    <definedName name="DEST2" localSheetId="27">#REF!</definedName>
    <definedName name="DEST2">#REF!</definedName>
    <definedName name="DEST3" localSheetId="27">#REF!</definedName>
    <definedName name="DEST3">#REF!</definedName>
    <definedName name="DEST4">#REF!</definedName>
    <definedName name="DEST4A">#REF!</definedName>
    <definedName name="DEST4B">#REF!</definedName>
    <definedName name="deuda" localSheetId="27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deuda" localSheetId="0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deuda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deudasmes" localSheetId="27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deudasmes" localSheetId="0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deudasmes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DEVFATOB" localSheetId="27">#REF!</definedName>
    <definedName name="DEVFATOB">#REF!</definedName>
    <definedName name="DEZ" localSheetId="27">#REF!</definedName>
    <definedName name="DEZ">#REF!</definedName>
    <definedName name="df">#N/A</definedName>
    <definedName name="dfasfdas" localSheetId="27" hidden="1">#REF!</definedName>
    <definedName name="dfasfdas" localSheetId="0" hidden="1">#REF!</definedName>
    <definedName name="dfasfdas" hidden="1">#REF!</definedName>
    <definedName name="dfd" hidden="1">{"FCB_ALL",#N/A,FALSE,"FCB";"GREY_ALL",#N/A,FALSE,"GREY"}</definedName>
    <definedName name="dfdas" hidden="1">{"FCB_ALL",#N/A,FALSE,"FCB";"GREY_ALL",#N/A,FALSE,"GREY"}</definedName>
    <definedName name="dfdfd" hidden="1">{"FCB_ALL",#N/A,FALSE,"FCB";"GREY_ALL",#N/A,FALSE,"GREY"}</definedName>
    <definedName name="dfdfdfd" hidden="1">{"FCB_ALL",#N/A,FALSE,"FCB"}</definedName>
    <definedName name="DFG" localSheetId="0" hidden="1">{"TotalGeralDespesasPorArea",#N/A,FALSE,"VinculosAccessEfetivo"}</definedName>
    <definedName name="dfg">#N/A</definedName>
    <definedName name="dfsafdas" localSheetId="27" hidden="1">#REF!</definedName>
    <definedName name="dfsafdas" localSheetId="0" hidden="1">#REF!</definedName>
    <definedName name="dfsafdas" hidden="1">#REF!</definedName>
    <definedName name="dfsdafdasf" localSheetId="27" hidden="1">#REF!</definedName>
    <definedName name="dfsdafdasf" localSheetId="0" hidden="1">#REF!</definedName>
    <definedName name="dfsdafdasf" hidden="1">#REF!</definedName>
    <definedName name="dfsdfg" localSheetId="27" hidden="1">#REF!</definedName>
    <definedName name="dfsdfg" localSheetId="0" hidden="1">#REF!</definedName>
    <definedName name="dfsdfg" hidden="1">#REF!</definedName>
    <definedName name="dggfdg" localSheetId="27" hidden="1">{#N/A,#N/A,FALSE,"Plan1";#N/A,#N/A,FALSE,"Plan2"}</definedName>
    <definedName name="dggfdg" localSheetId="0" hidden="1">{#N/A,#N/A,FALSE,"Plan1";#N/A,#N/A,FALSE,"Plan2"}</definedName>
    <definedName name="dggfdg" hidden="1">{#N/A,#N/A,FALSE,"Plan1";#N/A,#N/A,FALSE,"Plan2"}</definedName>
    <definedName name="dggsf">#N/A</definedName>
    <definedName name="dgnghnyh" localSheetId="27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dgnghnyh" localSheetId="0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dgnghnyh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dgs">#N/A</definedName>
    <definedName name="DIA">#REF!</definedName>
    <definedName name="DIAS">#REF!</definedName>
    <definedName name="Dias_Ab" localSheetId="27" hidden="1">#REF!</definedName>
    <definedName name="Dias_Ab" localSheetId="0" hidden="1">#REF!</definedName>
    <definedName name="Dias_Ab" hidden="1">#REF!</definedName>
    <definedName name="Dias_Enc" localSheetId="27" hidden="1">#REF!</definedName>
    <definedName name="Dias_Enc" localSheetId="0" hidden="1">#REF!</definedName>
    <definedName name="Dias_Enc" hidden="1">#REF!</definedName>
    <definedName name="Diferido" hidden="1">{"TotalGeralDespesasPorArea",#N/A,FALSE,"VinculosAccessEfetivo"}</definedName>
    <definedName name="diss" localSheetId="27">#REF!</definedName>
    <definedName name="diss">#REF!</definedName>
    <definedName name="Divers">#REF!</definedName>
    <definedName name="DividaAcrJuros" localSheetId="0" hidden="1">#REF!</definedName>
    <definedName name="DividaAcrJuros" hidden="1">#REF!</definedName>
    <definedName name="DividaAlocação" localSheetId="0" hidden="1">#REF!</definedName>
    <definedName name="DividaAlocação" hidden="1">#REF!</definedName>
    <definedName name="DividaCom" localSheetId="0" hidden="1">#REF!</definedName>
    <definedName name="DividaCom" hidden="1">#REF!</definedName>
    <definedName name="DividaCP" localSheetId="0" hidden="1">#REF!</definedName>
    <definedName name="DividaCP" hidden="1">#REF!</definedName>
    <definedName name="DividaJurCapitaliz" localSheetId="0" hidden="1">#REF!</definedName>
    <definedName name="DividaJurCapitaliz" hidden="1">#REF!</definedName>
    <definedName name="DividaJuros" localSheetId="0" hidden="1">#REF!</definedName>
    <definedName name="DividaJuros" hidden="1">#REF!</definedName>
    <definedName name="DividaMLP" localSheetId="0" hidden="1">#REF!</definedName>
    <definedName name="DividaMLP" hidden="1">#REF!</definedName>
    <definedName name="DividaTaxasJuro" localSheetId="0" hidden="1">#REF!</definedName>
    <definedName name="DividaTaxasJuro" hidden="1">#REF!</definedName>
    <definedName name="djiff">#REF!</definedName>
    <definedName name="dll_real">#REF!</definedName>
    <definedName name="DLX1.USE">#REF!</definedName>
    <definedName name="DOAR_ACUM">#REF!</definedName>
    <definedName name="DOAR_MES">#REF!</definedName>
    <definedName name="DOAR_MOVIM">#REF!</definedName>
    <definedName name="dolar">#REF!</definedName>
    <definedName name="dólar" localSheetId="27">#REF!</definedName>
    <definedName name="dólar">#REF!</definedName>
    <definedName name="dolar96" localSheetId="27">#REF!</definedName>
    <definedName name="dolar96">#REF!</definedName>
    <definedName name="DRE" localSheetId="27">#REF!</definedName>
    <definedName name="DRE">#REF!</definedName>
    <definedName name="DREEE">#REF!</definedName>
    <definedName name="dren">#REF!</definedName>
    <definedName name="drenag">#REF!</definedName>
    <definedName name="ds">#REF!</definedName>
    <definedName name="dsadsa" localSheetId="27" hidden="1">#REF!</definedName>
    <definedName name="dsadsa" localSheetId="0" hidden="1">#REF!</definedName>
    <definedName name="dsadsa" hidden="1">#REF!</definedName>
    <definedName name="dsadsda" localSheetId="27" hidden="1">#REF!</definedName>
    <definedName name="dsadsda" localSheetId="0" hidden="1">#REF!</definedName>
    <definedName name="dsadsda" hidden="1">#REF!</definedName>
    <definedName name="dsf">#N/A</definedName>
    <definedName name="dss" localSheetId="27" hidden="1">#REF!</definedName>
    <definedName name="dss" localSheetId="0" hidden="1">#REF!</definedName>
    <definedName name="dss" hidden="1">#REF!</definedName>
    <definedName name="DV_MUNI">#N/A</definedName>
    <definedName name="DVVB" localSheetId="27" hidden="1">{"tabela",#N/A,FALSE,"Tabela";"decoração",#N/A,FALSE,"Decor.";"Informações",#N/A,FALSE,"Inform."}</definedName>
    <definedName name="DVVB" localSheetId="0" hidden="1">{"tabela",#N/A,FALSE,"Tabela";"decoração",#N/A,FALSE,"Decor.";"Informações",#N/A,FALSE,"Inform."}</definedName>
    <definedName name="DVVB" hidden="1">{"tabela",#N/A,FALSE,"Tabela";"decoração",#N/A,FALSE,"Decor.";"Informações",#N/A,FALSE,"Inform."}</definedName>
    <definedName name="DXCZ" localSheetId="27" hidden="1">{#N/A,#N/A,FALSE,"Plan1";#N/A,#N/A,FALSE,"Plan2"}</definedName>
    <definedName name="DXCZ" localSheetId="0" hidden="1">{#N/A,#N/A,FALSE,"Plan1";#N/A,#N/A,FALSE,"Plan2"}</definedName>
    <definedName name="DXCZ" hidden="1">{#N/A,#N/A,FALSE,"Plan1";#N/A,#N/A,FALSE,"Plan2"}</definedName>
    <definedName name="dzzzzzzzzzzzzzz" localSheetId="27" hidden="1">#REF!</definedName>
    <definedName name="dzzzzzzzzzzzzzz" localSheetId="0" hidden="1">#REF!</definedName>
    <definedName name="dzzzzzzzzzzzzzz" hidden="1">#REF!</definedName>
    <definedName name="e" localSheetId="0" hidden="1">#REF!</definedName>
    <definedName name="E">#REF!</definedName>
    <definedName name="EBITDA_01">#REF!</definedName>
    <definedName name="EBITDA_02">#REF!</definedName>
    <definedName name="EBITDA_03">#REF!</definedName>
    <definedName name="EBITDA_04">#REF!</definedName>
    <definedName name="EBITDA_05">#REF!</definedName>
    <definedName name="EBITDA_06">#REF!</definedName>
    <definedName name="EBITDA_07">#REF!</definedName>
    <definedName name="EBITDA_08">#REF!</definedName>
    <definedName name="EBITDA_09">#REF!</definedName>
    <definedName name="EBITDA_10">#REF!</definedName>
    <definedName name="EBITDA_11">#REF!</definedName>
    <definedName name="ec_bl_ALA_acum_PA">#REF!</definedName>
    <definedName name="ec_bl_ALA_acum_Real">#REF!</definedName>
    <definedName name="ec_bl_ALA_ano_PA">#REF!</definedName>
    <definedName name="ec_bl_ALA_ano_Tend">#REF!</definedName>
    <definedName name="ec_bl_Ene_acum_PA">#REF!</definedName>
    <definedName name="ec_bl_Ene_acum_Real">#REF!</definedName>
    <definedName name="ec_bl_Ene_ano_PA">#REF!</definedName>
    <definedName name="ec_bl_Ene_ano_Tend">#REF!</definedName>
    <definedName name="ec_bl_Eng_acum_PA">#REF!</definedName>
    <definedName name="ec_bl_Eng_acum_Real">#REF!</definedName>
    <definedName name="ec_bl_Eng_ano_PA">#REF!</definedName>
    <definedName name="ec_bl_Eng_ano_Tend">#REF!</definedName>
    <definedName name="ec_bl_Inf_acum_PA">#REF!</definedName>
    <definedName name="ec_bl_Inf_acum_Real">#REF!</definedName>
    <definedName name="ec_bl_Inf_ano_PA">#REF!</definedName>
    <definedName name="ec_bl_Inf_ano_Tend">#REF!</definedName>
    <definedName name="ec_bl_Int_acum_PA">#REF!</definedName>
    <definedName name="ec_bl_Int_acum_Real">#REF!</definedName>
    <definedName name="ec_bl_Int_ano_PA">#REF!</definedName>
    <definedName name="ec_bl_Int_ano_Tend">#REF!</definedName>
    <definedName name="ec_bl_ODT_acum_PA">#REF!</definedName>
    <definedName name="ec_bl_ODT_acum_Real">#REF!</definedName>
    <definedName name="ec_bl_ODT_ano_PA">#REF!</definedName>
    <definedName name="ec_bl_ODT_ano_Tend">#REF!</definedName>
    <definedName name="ec_bl_Ven_acum_PA">#REF!</definedName>
    <definedName name="ec_bl_Ven_acum_Real">#REF!</definedName>
    <definedName name="ec_bl_Ven_ano_PA">#REF!</definedName>
    <definedName name="ec_bl_Ven_ano_Tend">#REF!</definedName>
    <definedName name="ec_conq_ALA_acum_PA">#REF!</definedName>
    <definedName name="ec_conq_ALA_acum_Real">#REF!</definedName>
    <definedName name="ec_conq_ALA_ano_PA">#REF!</definedName>
    <definedName name="ec_conq_ALA_ano_Tend">#REF!</definedName>
    <definedName name="ec_conq_Ene_acum_PA">#REF!</definedName>
    <definedName name="ec_conq_Ene_acum_Real">#REF!</definedName>
    <definedName name="ec_conq_Ene_ano_PA">#REF!</definedName>
    <definedName name="ec_conq_Ene_ano_Tend">#REF!</definedName>
    <definedName name="ec_conq_Eng_acum_PA">#REF!</definedName>
    <definedName name="ec_conq_Eng_acum_Real">#REF!</definedName>
    <definedName name="ec_conq_Eng_ano_PA">#REF!</definedName>
    <definedName name="ec_conq_Eng_ano_Tend">#REF!</definedName>
    <definedName name="ec_conq_Inf_acum_PA">#REF!</definedName>
    <definedName name="ec_conq_Inf_acum_Real">#REF!</definedName>
    <definedName name="ec_conq_Inf_ano_PA">#REF!</definedName>
    <definedName name="ec_conq_Inf_ano_Tend">#REF!</definedName>
    <definedName name="ec_conq_Int_acum_PA">#REF!</definedName>
    <definedName name="ec_conq_Int_acum_Real">#REF!</definedName>
    <definedName name="ec_conq_Int_ano_PA">#REF!</definedName>
    <definedName name="ec_conq_Int_ano_Tend">#REF!</definedName>
    <definedName name="ec_conq_ODT_acum_PA">#REF!</definedName>
    <definedName name="ec_conq_ODT_acum_Real">#REF!</definedName>
    <definedName name="ec_conq_ODT_ano_PA">#REF!</definedName>
    <definedName name="ec_conq_ODT_ano_Tend">#REF!</definedName>
    <definedName name="ec_conq_Ven_acum_PA">#REF!</definedName>
    <definedName name="ec_conq_Ven_acum_Real">#REF!</definedName>
    <definedName name="ec_conq_Ven_ano_PA">#REF!</definedName>
    <definedName name="ec_conq_Ven_ano_Tend">#REF!</definedName>
    <definedName name="ec_glcx_ALA_acum_PA">#REF!</definedName>
    <definedName name="ec_glcx_ALA_acum_Real">#REF!</definedName>
    <definedName name="ec_glcx_ALA_ano_PA">#REF!</definedName>
    <definedName name="ec_glcx_ALA_ano_Tend">#REF!</definedName>
    <definedName name="ec_glcx_Ene_acum_PA">#REF!</definedName>
    <definedName name="ec_glcx_Ene_acum_Real">#REF!</definedName>
    <definedName name="ec_glcx_Ene_ano_PA">#REF!</definedName>
    <definedName name="ec_glcx_Ene_ano_Tend">#REF!</definedName>
    <definedName name="ec_glcx_Eng_acum_PA">#REF!</definedName>
    <definedName name="ec_glcx_Eng_acum_Real">#REF!</definedName>
    <definedName name="ec_glcx_Eng_ano_PA">#REF!</definedName>
    <definedName name="ec_glcx_Eng_ano_Tend">#REF!</definedName>
    <definedName name="ec_glcx_Inf_acum_PA">#REF!</definedName>
    <definedName name="ec_glcx_Inf_acum_Real">#REF!</definedName>
    <definedName name="ec_glcx_Inf_ano_PA">#REF!</definedName>
    <definedName name="ec_glcx_Inf_ano_Tend">#REF!</definedName>
    <definedName name="ec_glcx_Int_acum_PA">#REF!</definedName>
    <definedName name="ec_glcx_Int_acum_Real">#REF!</definedName>
    <definedName name="ec_glcx_Int_ano_PA">#REF!</definedName>
    <definedName name="ec_glcx_Int_ano_Tend">#REF!</definedName>
    <definedName name="ec_glcx_ODT_acum_PA">#REF!</definedName>
    <definedName name="ec_glcx_ODT_acum_Real">#REF!</definedName>
    <definedName name="ec_glcx_ODT_ano_PA">#REF!</definedName>
    <definedName name="ec_glcx_ODT_ano_Tend">#REF!</definedName>
    <definedName name="ec_glcx_Ven_acum_PA">#REF!</definedName>
    <definedName name="ec_glcx_Ven_acum_Real">#REF!</definedName>
    <definedName name="ec_glcx_Ven_ano_PA">#REF!</definedName>
    <definedName name="ec_glcx_Ven_ano_Tend">#REF!</definedName>
    <definedName name="ec_ing_ALA_acum_PA">#REF!</definedName>
    <definedName name="ec_ing_ALA_acum_Real">#REF!</definedName>
    <definedName name="ec_ing_ALA_ano_PA">#REF!</definedName>
    <definedName name="ec_ing_ALA_ano_Tend">#REF!</definedName>
    <definedName name="ec_ing_Ene_acum_PA">#REF!</definedName>
    <definedName name="ec_ing_Ene_acum_Real">#REF!</definedName>
    <definedName name="ec_ing_Ene_ano_PA">#REF!</definedName>
    <definedName name="ec_ing_Ene_ano_Tend">#REF!</definedName>
    <definedName name="ec_ing_Eng_acum_PA">#REF!</definedName>
    <definedName name="ec_ing_Eng_acum_Real">#REF!</definedName>
    <definedName name="ec_ing_Eng_ano_PA">#REF!</definedName>
    <definedName name="ec_ing_Eng_ano_Tend">#REF!</definedName>
    <definedName name="ec_ing_Inf_acum_PA">#REF!</definedName>
    <definedName name="ec_ing_Inf_acum_Real">#REF!</definedName>
    <definedName name="ec_ing_Inf_ano_PA">#REF!</definedName>
    <definedName name="ec_ing_Inf_ano_Tend">#REF!</definedName>
    <definedName name="ec_ing_Int_acum_PA">#REF!</definedName>
    <definedName name="ec_ing_Int_acum_Real">#REF!</definedName>
    <definedName name="ec_ing_Int_ano_PA">#REF!</definedName>
    <definedName name="ec_ing_Int_ano_Tend">#REF!</definedName>
    <definedName name="ec_ing_ODT_acum_PA">#REF!</definedName>
    <definedName name="ec_ing_ODT_acum_Real">#REF!</definedName>
    <definedName name="ec_ing_ODT_ano_PA">#REF!</definedName>
    <definedName name="ec_ing_ODT_ano_Tend">#REF!</definedName>
    <definedName name="ec_ing_Ven_acum_PA">#REF!</definedName>
    <definedName name="ec_ing_Ven_acum_Real">#REF!</definedName>
    <definedName name="ec_ing_Ven_ano_PA">#REF!</definedName>
    <definedName name="ec_ing_Ven_ano_Tend">#REF!</definedName>
    <definedName name="ec_kgc_ALA_acum_PA">#REF!</definedName>
    <definedName name="ec_kgc_ALA_acum_Real">#REF!</definedName>
    <definedName name="ec_kgc_ALA_ano_PA">#REF!</definedName>
    <definedName name="ec_kgc_ALA_ano_Tend">#REF!</definedName>
    <definedName name="ec_kgc_Ene_acum_PA">#REF!</definedName>
    <definedName name="ec_kgc_Ene_acum_Real">#REF!</definedName>
    <definedName name="ec_kgc_Ene_ano_PA">#REF!</definedName>
    <definedName name="ec_kgc_Ene_ano_Tend">#REF!</definedName>
    <definedName name="ec_kgc_Eng_acum_PA">#REF!</definedName>
    <definedName name="ec_kgc_Eng_acum_Real">#REF!</definedName>
    <definedName name="ec_kgc_Eng_ano_PA">#REF!</definedName>
    <definedName name="ec_kgc_Eng_ano_Tend">#REF!</definedName>
    <definedName name="ec_kgc_Inf_acum_PA">#REF!</definedName>
    <definedName name="ec_kgc_Inf_acum_Real">#REF!</definedName>
    <definedName name="ec_kgc_Inf_ano_PA">#REF!</definedName>
    <definedName name="ec_kgc_Inf_ano_Tend">#REF!</definedName>
    <definedName name="ec_kgc_Int_acum_PA">#REF!</definedName>
    <definedName name="ec_kgc_Int_acum_Real">#REF!</definedName>
    <definedName name="ec_kgc_Int_ano_PA">#REF!</definedName>
    <definedName name="ec_kgc_Int_ano_Tend">#REF!</definedName>
    <definedName name="ec_kgc_ODT_acum_PA">#REF!</definedName>
    <definedName name="ec_kgc_ODT_acum_Real">#REF!</definedName>
    <definedName name="ec_kgc_ODT_ano_PA">#REF!</definedName>
    <definedName name="ec_kgc_ODT_ano_Tend">#REF!</definedName>
    <definedName name="ec_kgc_Ven_acum_PA">#REF!</definedName>
    <definedName name="ec_kgc_Ven_acum_Real">#REF!</definedName>
    <definedName name="ec_kgc_Ven_ano_PA">#REF!</definedName>
    <definedName name="ec_kgc_Ven_ano_Tend">#REF!</definedName>
    <definedName name="ec_ml_ALA_acum_PA">#REF!</definedName>
    <definedName name="ec_ml_ALA_acum_Real">#REF!</definedName>
    <definedName name="ec_ml_ALA_ano_PA">#REF!</definedName>
    <definedName name="ec_ml_ALA_ano_Tend">#REF!</definedName>
    <definedName name="ec_ml_Ene_acum_PA">#REF!</definedName>
    <definedName name="ec_ml_Ene_acum_Real">#REF!</definedName>
    <definedName name="ec_ml_Ene_ano_PA">#REF!</definedName>
    <definedName name="ec_ml_Ene_ano_Tend">#REF!</definedName>
    <definedName name="ec_ml_Inf_acum_PA">#REF!</definedName>
    <definedName name="ec_ml_Inf_acum_Real">#REF!</definedName>
    <definedName name="ec_ml_Inf_ano_PA">#REF!</definedName>
    <definedName name="ec_ml_Inf_ano_Tend">#REF!</definedName>
    <definedName name="ec_ml_Int_acum_PA">#REF!</definedName>
    <definedName name="ec_ml_Int_acum_Real">#REF!</definedName>
    <definedName name="ec_ml_Int_ano_PA">#REF!</definedName>
    <definedName name="ec_ml_Int_ano_Tend">#REF!</definedName>
    <definedName name="ec_ml_ODT_acum_PA">#REF!</definedName>
    <definedName name="ec_ml_ODT_acum_Real">#REF!</definedName>
    <definedName name="ec_ml_ODT_ano_PA">#REF!</definedName>
    <definedName name="ec_ml_ODT_ano_Tend">#REF!</definedName>
    <definedName name="ec_ml_Ven_acum_PA">#REF!</definedName>
    <definedName name="ec_ml_Ven_acum_Real">#REF!</definedName>
    <definedName name="ec_ml_Ven_ano_PA">#REF!</definedName>
    <definedName name="ec_ml_Ven_ano_Tend">#REF!</definedName>
    <definedName name="ec_rb_ALA_acum_PA">#REF!</definedName>
    <definedName name="ec_rb_ALA_acum_Real">#REF!</definedName>
    <definedName name="ec_rb_ALA_ano_PA">#REF!</definedName>
    <definedName name="ec_rb_ALA_ano_Tend">#REF!</definedName>
    <definedName name="ec_rb_Ene_acum_PA">#REF!</definedName>
    <definedName name="ec_rb_Ene_acum_Real">#REF!</definedName>
    <definedName name="ec_rb_Ene_ano_PA">#REF!</definedName>
    <definedName name="ec_rb_Ene_ano_Tend">#REF!</definedName>
    <definedName name="ec_rb_Eng_acum_PA">#REF!</definedName>
    <definedName name="ec_rb_Eng_acum_Real">#REF!</definedName>
    <definedName name="ec_rb_Eng_ano_PA">#REF!</definedName>
    <definedName name="ec_rb_Eng_ano_Tend">#REF!</definedName>
    <definedName name="ec_rb_Inf_acum_PA">#REF!</definedName>
    <definedName name="ec_rb_Inf_acum_Real">#REF!</definedName>
    <definedName name="ec_rb_Inf_ano_PA">#REF!</definedName>
    <definedName name="ec_rb_Inf_ano_Tend">#REF!</definedName>
    <definedName name="ec_rb_Int_acum_PA">#REF!</definedName>
    <definedName name="ec_rb_Int_acum_Real">#REF!</definedName>
    <definedName name="ec_rb_Int_ano_PA">#REF!</definedName>
    <definedName name="ec_rb_Int_ano_Tend">#REF!</definedName>
    <definedName name="ec_rb_ODT_acum_PA">#REF!</definedName>
    <definedName name="ec_rb_ODT_acum_Real">#REF!</definedName>
    <definedName name="ec_rb_ODT_ano_PA">#REF!</definedName>
    <definedName name="ec_rb_ODT_ano_Tend">#REF!</definedName>
    <definedName name="ec_rb_Ven_acum_PA">#REF!</definedName>
    <definedName name="ec_rb_Ven_acum_Real">#REF!</definedName>
    <definedName name="ec_rb_Ven_ano_PA">#REF!</definedName>
    <definedName name="ec_rb_Ven_ano_Tend">#REF!</definedName>
    <definedName name="ec_rgl_ALA_acum_PA">#REF!</definedName>
    <definedName name="ec_rgl_ALA_acum_Real">#REF!</definedName>
    <definedName name="ec_rgl_ALA_ano_PA">#REF!</definedName>
    <definedName name="ec_rgl_ALA_ano_Tend">#REF!</definedName>
    <definedName name="ec_rgl_Ene_acum_PA">#REF!</definedName>
    <definedName name="ec_rgl_Ene_acum_Real">#REF!</definedName>
    <definedName name="ec_rgl_Ene_ano_PA">#REF!</definedName>
    <definedName name="ec_rgl_Ene_ano_Tend">#REF!</definedName>
    <definedName name="ec_rgl_Eng_acum_PA">#REF!</definedName>
    <definedName name="ec_rgl_Eng_acum_Real">#REF!</definedName>
    <definedName name="ec_rgl_Eng_ano_PA">#REF!</definedName>
    <definedName name="ec_rgl_Eng_ano_Tend">#REF!</definedName>
    <definedName name="ec_rgl_Inf_acum_PA">#REF!</definedName>
    <definedName name="ec_rgl_Inf_acum_Real">#REF!</definedName>
    <definedName name="ec_rgl_Inf_ano_PA">#REF!</definedName>
    <definedName name="ec_rgl_Inf_ano_Tend">#REF!</definedName>
    <definedName name="ec_rgl_Int_acum_PA">#REF!</definedName>
    <definedName name="ec_rgl_Int_acum_Real">#REF!</definedName>
    <definedName name="ec_rgl_Int_ano_PA">#REF!</definedName>
    <definedName name="ec_rgl_Int_ano_Tend">#REF!</definedName>
    <definedName name="ec_rgl_ODT_acum_PA">#REF!</definedName>
    <definedName name="ec_rgl_ODT_acum_Real">#REF!</definedName>
    <definedName name="ec_rgl_ODT_ano_PA">#REF!</definedName>
    <definedName name="ec_rgl_ODT_ano_Tend">#REF!</definedName>
    <definedName name="ec_rgl_Ven_acum_PA">#REF!</definedName>
    <definedName name="ec_rgl_Ven_acum_Real">#REF!</definedName>
    <definedName name="ec_rgl_Ven_ano_PA">#REF!</definedName>
    <definedName name="ec_rgl_Ven_ano_Tend">#REF!</definedName>
    <definedName name="ec_sap_ALA_acum_PA">#REF!</definedName>
    <definedName name="ec_sap_ALA_acum_Real">#REF!</definedName>
    <definedName name="ec_sap_ALA_ano_PA">#REF!</definedName>
    <definedName name="ec_sap_ALA_ano_Tend">#REF!</definedName>
    <definedName name="ec_sap_Ene_acum_PA">#REF!</definedName>
    <definedName name="ec_sap_Ene_acum_Real">#REF!</definedName>
    <definedName name="ec_sap_Ene_ano_PA">#REF!</definedName>
    <definedName name="ec_sap_Ene_ano_Tend">#REF!</definedName>
    <definedName name="ec_sap_Eng_acum_PA">#REF!</definedName>
    <definedName name="ec_sap_Eng_acum_Real">#REF!</definedName>
    <definedName name="ec_sap_Eng_ano_PA">#REF!</definedName>
    <definedName name="ec_sap_Eng_ano_Tend">#REF!</definedName>
    <definedName name="ec_sap_Inf_acum_PA">#REF!</definedName>
    <definedName name="ec_sap_Inf_acum_Real">#REF!</definedName>
    <definedName name="ec_sap_Inf_ano_PA">#REF!</definedName>
    <definedName name="ec_sap_Inf_ano_Tend">#REF!</definedName>
    <definedName name="ec_sap_Int_acum_PA">#REF!</definedName>
    <definedName name="ec_sap_Int_acum_Real">#REF!</definedName>
    <definedName name="ec_sap_Int_ano_PA">#REF!</definedName>
    <definedName name="ec_sap_Int_ano_Tend">#REF!</definedName>
    <definedName name="ec_sap_ODT_acum_PA">#REF!</definedName>
    <definedName name="ec_sap_ODT_acum_Real">#REF!</definedName>
    <definedName name="ec_sap_ODT_ano_PA">#REF!</definedName>
    <definedName name="ec_sap_ODT_ano_Tend">#REF!</definedName>
    <definedName name="ec_sap_Ven_acum_PA">#REF!</definedName>
    <definedName name="ec_sap_Ven_acum_Real">#REF!</definedName>
    <definedName name="ec_sap_Ven_ano_PA">#REF!</definedName>
    <definedName name="ec_sap_Ven_ano_Tend">#REF!</definedName>
    <definedName name="echart31" localSheetId="27" hidden="1">#REF!</definedName>
    <definedName name="echart31" localSheetId="0" hidden="1">#REF!</definedName>
    <definedName name="echart31" hidden="1">#REF!</definedName>
    <definedName name="ede" localSheetId="27">{0;0;0;0;9;#N/A;0.75;0.75;1;1;1;FALSE;FALSE;FALSE;FALSE;FALSE;#N/A;1;100;#N/A;#N/A;"&amp;A";"Page &amp;P"}</definedName>
    <definedName name="ede">{0;0;0;0;9;#N/A;0.75;0.75;1;1;1;FALSE;FALSE;FALSE;FALSE;FALSE;#N/A;1;100;#N/A;#N/A;"&amp;A";"Page &amp;P"}</definedName>
    <definedName name="edif_cs">#REF!</definedName>
    <definedName name="edif_cs_asahi">#REF!</definedName>
    <definedName name="edif_cs_uhde" localSheetId="27">#REF!</definedName>
    <definedName name="edif_cs_uhde">#REF!</definedName>
    <definedName name="EDSON">#REF!</definedName>
    <definedName name="ee">#N/A</definedName>
    <definedName name="EEE" localSheetId="27">#N/A</definedName>
    <definedName name="EEE" localSheetId="26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EEE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eeee" localSheetId="27" hidden="1">{#N/A,#N/A,FALSE,"Aging Summary";#N/A,#N/A,FALSE,"Ratio Analysis";#N/A,#N/A,FALSE,"Test 120 Day Accts";#N/A,#N/A,FALSE,"Tickmarks"}</definedName>
    <definedName name="eeee" localSheetId="0" hidden="1">{#N/A,#N/A,FALSE,"Aging Summary";#N/A,#N/A,FALSE,"Ratio Analysis";#N/A,#N/A,FALSE,"Test 120 Day Accts";#N/A,#N/A,FALSE,"Tickmarks"}</definedName>
    <definedName name="eeee" hidden="1">{#N/A,#N/A,FALSE,"Aging Summary";#N/A,#N/A,FALSE,"Ratio Analysis";#N/A,#N/A,FALSE,"Test 120 Day Accts";#N/A,#N/A,FALSE,"Tickmarks"}</definedName>
    <definedName name="eeeee" localSheetId="27" hidden="1">{#N/A,#N/A,FALSE,"Plan1";#N/A,#N/A,FALSE,"Plan2"}</definedName>
    <definedName name="eeeee" localSheetId="0" hidden="1">{#N/A,#N/A,FALSE,"Plan1";#N/A,#N/A,FALSE,"Plan2"}</definedName>
    <definedName name="eeeee" hidden="1">{#N/A,#N/A,FALSE,"Plan1";#N/A,#N/A,FALSE,"Plan2"}</definedName>
    <definedName name="eeeeeeeeeeeeee" localSheetId="27" hidden="1">#REF!</definedName>
    <definedName name="eeeeeeeeeeeeee" localSheetId="0" hidden="1">#REF!</definedName>
    <definedName name="eeeeeeeeeeeeee" hidden="1">#REF!</definedName>
    <definedName name="EENITRO" localSheetId="27">#REF!</definedName>
    <definedName name="EENITRO">#REF!</definedName>
    <definedName name="EEOPPCAM" localSheetId="27">#REF!</definedName>
    <definedName name="EEOPPCAM">#REF!</definedName>
    <definedName name="EEPROPPET">#REF!</definedName>
    <definedName name="efic_retificacao">#REF!</definedName>
    <definedName name="efsgsf">#N/A</definedName>
    <definedName name="ehuhuehuehue" localSheetId="27" hidden="1">#REF!</definedName>
    <definedName name="ehuhuehuehue" localSheetId="0" hidden="1">#REF!</definedName>
    <definedName name="ehuhuehuehue" hidden="1">#REF!</definedName>
    <definedName name="Empresa">#REF!</definedName>
    <definedName name="Empresas" localSheetId="27">#REF!</definedName>
    <definedName name="Empresas">#REF!</definedName>
    <definedName name="enc" localSheetId="27">#REF!</definedName>
    <definedName name="enc">#REF!</definedName>
    <definedName name="EntDiaMês">#REF!</definedName>
    <definedName name="epc_cs">#REF!</definedName>
    <definedName name="epc_cs_asahi">#REF!</definedName>
    <definedName name="epc_cs_uhde" localSheetId="27">#REF!</definedName>
    <definedName name="epc_cs_uhde">#REF!</definedName>
    <definedName name="epc_dce">#REF!</definedName>
    <definedName name="EPMWorkbookOptions_1">"dgEAAB+LCAAAAAAABADtvQdgHEmWJSYvbcp7f0r1StfgdKEIgGATJNiQQBDswYjN5pLsHWlHIymrKoHKZVZlXWYWQMztnbz33nvvvffee++997o7nU4n99//P1xmZAFs9s5K2smeIYCqyB8/fnwfPyIe/x7vFmV6mddNUS0/+2h3vPNRmi+n1axYXnz20bo939799KPf4+g3Th5/t6rfTqrq7Zerlpo2Kb23bB69a4rPPpq37erR3btXV1fj"</definedName>
    <definedName name="EPMWorkbookOptions_10" hidden="1">"evrF1zZ9u58+ePDpw0/fI9Lb/f+f9WMShpz65dnPY9vXocc9+vUnX/7+z4+/eH38++/s/LzN5m0my/6PyBIjy89bv2AzWR78f50s/+8xgCdfvnhz/LUN4MG9vXv39g5ub//2/v9n/5iCof17cfz7n/7eL/+/zqTfEEH2WHZPrPDe+xFdLKM8fXX6I2pEueTnreW7gS4/WugLmt2qVXw4RyenL45pWeoDjN/9+/cP7t/e+N37/6HxExp2Up+n"</definedName>
    <definedName name="EPMWorkbookOptions_11" hidden="1">"L37+hn9Rirz58s3x8/+vU+T/PZJ79uYDkjZ7999jtWL//38iC+J1Eov0yc/jhE2fIP+/ENdvjhzMHzu7B5/+fz7u/qZpsnN/7+dt5moDTe7/f50mPzum7uuYutMvXr46ff31MzSfPtjdOTh4cHuLd///fxZPaRgy6+nv/5wiqh8xqt/sVq0GGPWLL0+ffn023f30/s7uvYP3WEn79P9/fMokJNak/z0/+f86Z34DRHjy6v/zTtj/e+STbPPL"</definedName>
    <definedName name="EPMWorkbookOptions_12" hidden="1">"r5/r2N27f5+ST+8ROT34/598MglDK7JHNBn/vA4X4kR58COi9Ily/0dE6RNl50dE6RNl//8fRPl/j/X7ydNXr49/mObv4P9/5k9oGPLqy+fHL37/J/9f59NvkiLPvnx18unv/+mPSOJI8ur0+PnZTx0//fJHRAn55P7v//M2ozpEkv3f/+D/6yT5f4/V++L0+PVXlPr6+nbvvdMyD///Z/cMFSUp8fKUVnefnv1/Pj/zDXLpLRoF2MQbPb57"</definedName>
    <definedName name="EPMWorkbookOptions_13" hidden="1">"vFqVxTRrCY79PPjUNCdo1XJJiNNnT7M244/9D99U3cE/fpWf13kz/3L55SpfHp1nZZM/vht+yO1OyjyrAfTL5evsMjctux9z2+9W9dtJVb0l3myZjKZ1/4uw/dVMZ+3xWfOTWV1kkzL/Iq8vHITe579x4sB+uRJq/D/kXHiPUXgAAA=="</definedName>
    <definedName name="EPMWorkbookOptions_2" hidden="1">"q3vjqr64u7ezs3v39/7i+evpPF9k28WyabPlNP/IvjW7+a2PqNc0ffwqP6/zZv7l8stVvjw6z8omf3w3/JDbnZR5Vj/N2uzL5evsMjctux9zWzOWl3XV5tM2n5nW/S/C9lez9K58dNb8ZFYX2aTMv8jrCweh9zmRzoJV2h39P45h/1l2AQAA"</definedName>
    <definedName name="EPMWorkbookOptions_3" hidden="1">"Drvj1aospplHyVtjaWCEULyPdfBHFotO50I2R8n07uBX3y5ms3z5tFjky4ZRHW7q0GyCNtTq9by6sjBOqrKqj9p6nT++G/li06s8isibvdHpi8Qabf6ufZZdVnXREl48F/Jy77tbvP+sqJvWQyD+fQeQxXKYQLdt5bf7aln8onXOIz/5/U++ev2GZjn25SYYQvHtT+/fv/ep93ZsIvjFL+tZXh/tPL4rv0RBN6syu35ZV6u8bq+Pdu9/ev88"</definedName>
    <definedName name="EPMWorkbookOptions_4" hidden="1">"n5xv3/90tr+9v3f+cPvgfp5v72T53v5s8mD/weQeeg7figB+njXt67wkQc9nX+SLCemrSLOQI6MNqIm879Hoe0rB74+/R0J8+uLNt3fp15OT3//FMQlur/kA2G8XeZ3V0/m1a5qSdny0LMrPPgLTfNSRHu/dyMzd7t3Hd28a8DdEkX369ezVzs7eyRenpzs/IkuPLF++fPYjsvjyw2T5EUW6jPL6y52d/88zyuO7t1HInk35WTN+X756evrF"</definedName>
    <definedName name="EPMWorkbookOptions_5" hidden="1">"1zZ9u58+ePDpw093b2/9dv//Z/2YhKHsfnn289j2deixR7/u8LO/s3f/04MfkcWyiSHLzsMHD39EFic99NGL17//my/fHD///zpZ/t+j6U++fPHm+Gtr+oN7e/fu7R3cXtHv/f9P0TMFQ1Z9cfz7n/7eL/+/zqTfEEGg6X/y5cnv//z4i9fHv//PZ++1zygnb34eewQRejx9dfojajA1DujX+7s7ezu7SN/+f50o/y+yd6cvjl+dff203sG9"</definedName>
    <definedName name="EPMWorkbookOptions_6" hidden="1">"+/fvH9y/vcW79/9Diyc0DEX35f8vHLNvlCRMkd//JT7/EVk6ZPkRRXw34PTFz2M3IEaR5z8yeUGzW7WKD+fo7M0H5PIoN3N7W7f//z9bB+J1WPP4i9//5elmv70L9/+VHPrNkUQN3c9b332AIj8ih121ok9+JDGhEjn4UVgXNrtVq/hwjk6/ePnq9PXXT2R++mB35+Dgwe1N3f3//5k6pWHIqKe//3NK2/2IUf1mt2o1wKhffHn69Ouz6e6n"</definedName>
    <definedName name="EPMWorkbookOptions_7" hidden="1">"93d27x28x8rqp///41MmIbEm1OjJ/9c58xsgwpNX/5/3NP7fI59kqV9+/ezg7t79+5SufY+Q6cH//+STSRhaEUpjH4x/XvvEcaI8+BFR+kT59EdE6RNl/0dEiXHK73N6/Or/6zT5f4/x+8nTV6+Pf5jW7+D/f9ZPaBiy6svnxy/+Px/sf9ME+RE9HD2effnq5NPf/9MfkSRkkb0fESTkkd3d3///83rk/z3m7ovT49dfUcrr6xu8907HPPz/"</definedName>
    <definedName name="EPMWorkbookOptions_8" hidden="1">"n8EzVJRkxMtTWst9evbzNy8TUOP3efP0/+uE+AbF9RaNAmzijR7fPV6tymKatQTHfh58apoTtGq5JMTps6dZm5mPo5/S50K1RblsPvto3rarR3fvtvlita6LcVVf3P2qyWuH0/hdM/vo6Pd/9vKL3//Jy5MX393d+f2/py812WpVz3buj4vlZb7K6jF98OhgZ+cevrk7WU3vfv/3/97Zi588JfX++7Mv9Pt/7/MvntK/51nZ5MQyAZs89of2"</definedName>
    <definedName name="EPMWorkbookOptions_9" hidden="1">"nvh5dIuRzQ77iPrvdCukctPRYSD/q28Xs1m+tLPbbGi6gT1ez6urjiIF5z6+G/li06s8isibEdnjF4kd2vxd+yy7rOqiJbx4FuTl3ne3eP9ZUTftJiDPCjToQLpRNm7fKq4Pjk5+/5OvXr/5+vHdp/fv33uP4G7n/3+2TikYOmYnJz+Pl7Z7FNmjX89e7ezsHX/nq1c7PyKLxyhMlh9RpEuRz09f7PyIUXpk2cHz/3WyfIPeo4/m1zB+X756"</definedName>
    <definedName name="EQUIV" localSheetId="27">#REF!</definedName>
    <definedName name="EQUIV">#REF!</definedName>
    <definedName name="err" localSheetId="27" hidden="1">#REF!</definedName>
    <definedName name="err" localSheetId="0" hidden="1">#REF!</definedName>
    <definedName name="err" hidden="1">#REF!</definedName>
    <definedName name="Errado" hidden="1">{"'Edit'!$A$1:$V$2277"}</definedName>
    <definedName name="erro" hidden="1">{"'Edit'!$A$1:$V$2277"}</definedName>
    <definedName name="ertyery" localSheetId="27" hidden="1">{#N/A,#N/A,FALSE,"Plan1";#N/A,#N/A,FALSE,"Plan2"}</definedName>
    <definedName name="ertyery" localSheetId="0" hidden="1">{#N/A,#N/A,FALSE,"Plan1";#N/A,#N/A,FALSE,"Plan2"}</definedName>
    <definedName name="ertyery" hidden="1">{#N/A,#N/A,FALSE,"Plan1";#N/A,#N/A,FALSE,"Plan2"}</definedName>
    <definedName name="ESCALA" localSheetId="27">#REF!</definedName>
    <definedName name="ESCALA">#REF!</definedName>
    <definedName name="estoques" hidden="1">{"TotalGeralDespesasPorArea",#N/A,FALSE,"VinculosAccessEfetivo"}</definedName>
    <definedName name="ETENO" localSheetId="27">#REF!</definedName>
    <definedName name="ETENO">#REF!</definedName>
    <definedName name="ETENOCS" localSheetId="27">#REF!</definedName>
    <definedName name="ETENOCS">#REF!</definedName>
    <definedName name="ETENOPP">#REF!</definedName>
    <definedName name="ETENOPVC">#REF!</definedName>
    <definedName name="ETENOPVCAL">#REF!</definedName>
    <definedName name="ETENOPVCBA">#REF!</definedName>
    <definedName name="etrwertwr" hidden="1">#REF!</definedName>
    <definedName name="Euro">#REF!</definedName>
    <definedName name="euro_dolar">#REF!</definedName>
    <definedName name="Euro1" localSheetId="27">#REF!</definedName>
    <definedName name="Euro1">#REF!</definedName>
    <definedName name="EUROpUSD">#REF!</definedName>
    <definedName name="ev.Calculation" hidden="1">-4135</definedName>
    <definedName name="ev.Initialized" hidden="1">FALSE</definedName>
    <definedName name="EV__EVCOM_OPTIONS__" hidden="1">8</definedName>
    <definedName name="EV__EXPOPTIONS__" hidden="1">0</definedName>
    <definedName name="EV__LASTREFTIME__" hidden="1">"(GMT-03:00)08/10/2013 10:55:08"</definedName>
    <definedName name="EV__MAXEXPCOLS__" hidden="1">100</definedName>
    <definedName name="EV__MAXEXPROWS__" hidden="1">1000</definedName>
    <definedName name="EV__MEMORYCVW__" hidden="1">0</definedName>
    <definedName name="EV__WBEVMODE__" hidden="1">0</definedName>
    <definedName name="EV__WBREFOPTIONS__" hidden="1">7</definedName>
    <definedName name="EV__WBVERSION__" hidden="1">0</definedName>
    <definedName name="EV__WSINFO__" hidden="1">951753</definedName>
    <definedName name="Evolução" hidden="1">{#N/A,#N/A,FALSE,"GP";#N/A,#N/A,FALSE,"Assinantes";#N/A,#N/A,FALSE,"Rede";#N/A,#N/A,FALSE,"Evolução";#N/A,#N/A,FALSE,"Resultado"}</definedName>
    <definedName name="ewqfsdafsad" localSheetId="27" hidden="1">#REF!</definedName>
    <definedName name="ewqfsdafsad" localSheetId="0" hidden="1">#REF!</definedName>
    <definedName name="ewqfsdafsad" hidden="1">#REF!</definedName>
    <definedName name="ex_epc_cs">#REF!</definedName>
    <definedName name="ex_epc_cs_asahi">#REF!</definedName>
    <definedName name="ex_epc_cs_uhde" localSheetId="27">#REF!</definedName>
    <definedName name="ex_epc_cs_uhde">#REF!</definedName>
    <definedName name="Excel_BuiltIn_Criteria_4">"$'2001'.$#REF!$#REF!:$#REF!$#REF!"</definedName>
    <definedName name="Excel_BuiltIn_Criteria_5">"$'2000'.$#REF!$#REF!:$#REF!$#REF!"</definedName>
    <definedName name="Excel_BuiltIn_Criteria_6">"$'1999'.$#REF!$#REF!:$#REF!$#REF!"</definedName>
    <definedName name="Excel_BuiltIn_Extract">"$'1998'.$#REF!$#REF!:$#REF!$#REF!"</definedName>
    <definedName name="Excel_BuiltIn_Extract_4">"$'2001'.$#REF!$#REF!:$#REF!$#REF!"</definedName>
    <definedName name="Excel_BuiltIn_Extract_5">"$'2000'.$#REF!$#REF!:$#REF!$#REF!"</definedName>
    <definedName name="Excel_BuiltIn_Extract_6">"$'1999'.$#REF!$#REF!:$#REF!$#REF!"</definedName>
    <definedName name="Excel_BuiltIn_Print_Area_6">"$'1999'.$#REF!$#REF!:$#REF!$#REF!"</definedName>
    <definedName name="excluir" hidden="1">#REF!</definedName>
    <definedName name="ExpandOutputs">#N/A</definedName>
    <definedName name="ExpandVPeriods">#REF!</definedName>
    <definedName name="ExportFile">#REF!</definedName>
    <definedName name="Extensão" localSheetId="27" hidden="1">#REF!</definedName>
    <definedName name="Extensão" localSheetId="0" hidden="1">#REF!</definedName>
    <definedName name="Extensão" hidden="1">#REF!</definedName>
    <definedName name="ExtensãoObras" localSheetId="27" hidden="1">#REF!</definedName>
    <definedName name="ExtensãoObras" localSheetId="0" hidden="1">#REF!</definedName>
    <definedName name="ExtensãoObras" hidden="1">#REF!</definedName>
    <definedName name="Extracción_IM_6">"$'1999'.$#REF!$#REF!:$#REF!$#REF!"</definedName>
    <definedName name="f" localSheetId="27" hidden="1">#REF!</definedName>
    <definedName name="f" localSheetId="0" hidden="1">#REF!</definedName>
    <definedName name="f" hidden="1">#REF!</definedName>
    <definedName name="F.Pago_T2" localSheetId="27">#REF!</definedName>
    <definedName name="F.Pago_T2">#REF!</definedName>
    <definedName name="F.Pago_T3" localSheetId="27">#REF!</definedName>
    <definedName name="F.Pago_T3">#REF!</definedName>
    <definedName name="F_A_REF">#N/A</definedName>
    <definedName name="F_C_REF">#N/A</definedName>
    <definedName name="FactorF_T2" localSheetId="27">#REF!</definedName>
    <definedName name="FactorF_T2">#REF!</definedName>
    <definedName name="FactorF_T3" localSheetId="27">#REF!</definedName>
    <definedName name="FactorF_T3">#REF!</definedName>
    <definedName name="fadfasf" localSheetId="27" hidden="1">#REF!</definedName>
    <definedName name="fadfasf" localSheetId="0" hidden="1">#REF!</definedName>
    <definedName name="fadfasf" hidden="1">#REF!</definedName>
    <definedName name="fadsfdasfdas" localSheetId="0" hidden="1">#REF!</definedName>
    <definedName name="fadsfdasfdas" hidden="1">#REF!</definedName>
    <definedName name="fadsfdsa" localSheetId="0" hidden="1">#REF!</definedName>
    <definedName name="fadsfdsa" hidden="1">#REF!</definedName>
    <definedName name="fadsfdsafdsf" localSheetId="0" hidden="1">#REF!</definedName>
    <definedName name="fadsfdsafdsf" hidden="1">#REF!</definedName>
    <definedName name="fadsfsaf" localSheetId="0" hidden="1">#REF!</definedName>
    <definedName name="fadsfsaf" hidden="1">#REF!</definedName>
    <definedName name="fadsfsafadsf" localSheetId="0" hidden="1">#REF!</definedName>
    <definedName name="fadsfsafadsf" hidden="1">#REF!</definedName>
    <definedName name="fadsfsdfasfd" localSheetId="0" hidden="1">#REF!</definedName>
    <definedName name="fadsfsdfasfd" hidden="1">#REF!</definedName>
    <definedName name="fafa">#N/A</definedName>
    <definedName name="fasdfasfdsfdsa" localSheetId="27" hidden="1">#REF!</definedName>
    <definedName name="fasdfasfdsfdsa" localSheetId="0" hidden="1">#REF!</definedName>
    <definedName name="fasdfasfdsfdsa" hidden="1">#REF!</definedName>
    <definedName name="fasdfdsa" localSheetId="27" hidden="1">#REF!</definedName>
    <definedName name="fasdfdsa" localSheetId="0" hidden="1">#REF!</definedName>
    <definedName name="fasdfdsa" hidden="1">#REF!</definedName>
    <definedName name="fasdfdsafdsaf" localSheetId="27" hidden="1">#REF!</definedName>
    <definedName name="fasdfdsafdsaf" localSheetId="0" hidden="1">#REF!</definedName>
    <definedName name="fasdfdsafdsaf" hidden="1">#REF!</definedName>
    <definedName name="fasdfdsaffds" localSheetId="0" hidden="1">#REF!</definedName>
    <definedName name="fasdfdsaffds" hidden="1">#REF!</definedName>
    <definedName name="fasdfffffffffffffff" localSheetId="0" hidden="1">#REF!</definedName>
    <definedName name="fasdfffffffffffffff" hidden="1">#REF!</definedName>
    <definedName name="fasdfsadfasd" localSheetId="0" hidden="1">#REF!</definedName>
    <definedName name="fasdfsadfasd" hidden="1">#REF!</definedName>
    <definedName name="fasfd" localSheetId="0" hidden="1">#REF!</definedName>
    <definedName name="fasfd" hidden="1">#REF!</definedName>
    <definedName name="FAT_EXP" localSheetId="27">#REF!</definedName>
    <definedName name="FAT_EXP">#REF!</definedName>
    <definedName name="Fator_Ch" localSheetId="27">#REF!</definedName>
    <definedName name="Fator_Ch">#REF!</definedName>
    <definedName name="Fator_L" localSheetId="27">#REF!</definedName>
    <definedName name="Fator_L">#REF!</definedName>
    <definedName name="Fator_MO" localSheetId="27">#REF!</definedName>
    <definedName name="Fator_MO">#REF!</definedName>
    <definedName name="fator_mod">#REF!</definedName>
    <definedName name="faturamento" localSheetId="27">#REF!</definedName>
    <definedName name="faturamento">#REF!</definedName>
    <definedName name="FATURAMENTO_BRUTO_RESUMO_POR_FÁBRICA_EX_ENCARGOS_FINANCEIROS">#REF!</definedName>
    <definedName name="FATURAMENTO_LÍQUIDO_RESUMO_POR_FÁBRICA_COM_ENCARGOS_FINANCEIROS">#REF!</definedName>
    <definedName name="FATURAMENTO_LÍQUIDO_RESUMO_POR_FÁBRICA_EX_ENCARGOS_FINANCEIROS">#REF!</definedName>
    <definedName name="FATURAMENTO_NÍQUEL">#REF!</definedName>
    <definedName name="FBV" localSheetId="27">{#N/A,#N/A,FALSE,"Plan1";#N/A,#N/A,FALSE,"Plan2"}</definedName>
    <definedName name="FBV">{#N/A,#N/A,FALSE,"Plan1";#N/A,#N/A,FALSE,"Plan2"}</definedName>
    <definedName name="FC">#REF!</definedName>
    <definedName name="fcaixa" localSheetId="27">#REF!</definedName>
    <definedName name="fcaixa">#REF!</definedName>
    <definedName name="fcd_real" localSheetId="27">#REF!</definedName>
    <definedName name="fcd_real">#REF!</definedName>
    <definedName name="fchart31" localSheetId="27" hidden="1">#REF!</definedName>
    <definedName name="fchart31" localSheetId="0" hidden="1">#REF!</definedName>
    <definedName name="fchart31" hidden="1">#REF!</definedName>
    <definedName name="fci_real">#REF!</definedName>
    <definedName name="fd">#REF!</definedName>
    <definedName name="fdafd" localSheetId="27" hidden="1">#REF!</definedName>
    <definedName name="fdafd" localSheetId="0" hidden="1">#REF!</definedName>
    <definedName name="fdafd" hidden="1">#REF!</definedName>
    <definedName name="fdafdas" localSheetId="27" hidden="1">#REF!</definedName>
    <definedName name="fdafdas" localSheetId="0" hidden="1">#REF!</definedName>
    <definedName name="fdafdas" hidden="1">#REF!</definedName>
    <definedName name="fdafdfdas" localSheetId="27" hidden="1">#REF!</definedName>
    <definedName name="fdafdfdas" localSheetId="0" hidden="1">#REF!</definedName>
    <definedName name="fdafdfdas" hidden="1">#REF!</definedName>
    <definedName name="fdasfdafas" localSheetId="0" hidden="1">#REF!</definedName>
    <definedName name="fdasfdafas" hidden="1">#REF!</definedName>
    <definedName name="fdasfdasfds" localSheetId="0" hidden="1">#REF!</definedName>
    <definedName name="fdasfdasfds" hidden="1">#REF!</definedName>
    <definedName name="fdasfdsadfsa" localSheetId="0" hidden="1">#REF!</definedName>
    <definedName name="fdasfdsadfsa" hidden="1">#REF!</definedName>
    <definedName name="fdasfdsafdsa" localSheetId="0" hidden="1">#REF!</definedName>
    <definedName name="fdasfdsafdsa" hidden="1">#REF!</definedName>
    <definedName name="fdasfsadfsad" localSheetId="0" hidden="1">#REF!</definedName>
    <definedName name="fdasfsadfsad" hidden="1">#REF!</definedName>
    <definedName name="FDD_0_0" hidden="1">"A30681"</definedName>
    <definedName name="FDD_0_1" hidden="1">"A31047"</definedName>
    <definedName name="FDD_0_10" hidden="1">"A34334"</definedName>
    <definedName name="FDD_0_11" hidden="1">"A34699"</definedName>
    <definedName name="FDD_0_12" hidden="1">"A35064"</definedName>
    <definedName name="FDD_0_13" hidden="1">"A35430"</definedName>
    <definedName name="FDD_0_14" hidden="1">"A35795"</definedName>
    <definedName name="FDD_0_2" hidden="1">"A31412"</definedName>
    <definedName name="FDD_0_3" hidden="1">"A31777"</definedName>
    <definedName name="FDD_0_4" hidden="1">"A32142"</definedName>
    <definedName name="FDD_0_5" hidden="1">"A32508"</definedName>
    <definedName name="FDD_0_6" hidden="1">"A32873"</definedName>
    <definedName name="FDD_0_7" hidden="1">"A33238"</definedName>
    <definedName name="FDD_0_8" hidden="1">"A33603"</definedName>
    <definedName name="FDD_0_9" hidden="1">"A33969"</definedName>
    <definedName name="FDD_1_0" hidden="1">"U25569"</definedName>
    <definedName name="FDD_10_0" hidden="1">"A25569"</definedName>
    <definedName name="FDD_100_0" hidden="1">"A25569"</definedName>
    <definedName name="FDD_101_0" hidden="1">"A25569"</definedName>
    <definedName name="FDD_102_0" hidden="1">"A25569"</definedName>
    <definedName name="FDD_103_0" hidden="1">"A25569"</definedName>
    <definedName name="FDD_104_0" hidden="1">"A25569"</definedName>
    <definedName name="FDD_105_0" hidden="1">"A25569"</definedName>
    <definedName name="FDD_106_0" hidden="1">"A25569"</definedName>
    <definedName name="FDD_107_0" hidden="1">"A25569"</definedName>
    <definedName name="FDD_108_0" hidden="1">"A25569"</definedName>
    <definedName name="FDD_109_0" hidden="1">"A25569"</definedName>
    <definedName name="FDD_11_0" hidden="1">"A25569"</definedName>
    <definedName name="FDD_110_0" hidden="1">"A25569"</definedName>
    <definedName name="FDD_111_0" hidden="1">"A25569"</definedName>
    <definedName name="FDD_112_0" hidden="1">"A25569"</definedName>
    <definedName name="FDD_113_0" hidden="1">"A25569"</definedName>
    <definedName name="FDD_114_0" hidden="1">"A25569"</definedName>
    <definedName name="FDD_115_0" hidden="1">"A25569"</definedName>
    <definedName name="FDD_116_0" hidden="1">"A25569"</definedName>
    <definedName name="FDD_117_0" hidden="1">"A30681"</definedName>
    <definedName name="FDD_117_1" hidden="1">"A31047"</definedName>
    <definedName name="FDD_117_10" hidden="1">"A34334"</definedName>
    <definedName name="FDD_117_11" hidden="1">"A34699"</definedName>
    <definedName name="FDD_117_12" hidden="1">"A35064"</definedName>
    <definedName name="FDD_117_13" hidden="1">"A35430"</definedName>
    <definedName name="FDD_117_14" hidden="1">"A35795"</definedName>
    <definedName name="FDD_117_2" hidden="1">"A31412"</definedName>
    <definedName name="FDD_117_3" hidden="1">"A31777"</definedName>
    <definedName name="FDD_117_4" hidden="1">"A32142"</definedName>
    <definedName name="FDD_117_5" hidden="1">"A32508"</definedName>
    <definedName name="FDD_117_6" hidden="1">"A32873"</definedName>
    <definedName name="FDD_117_7" hidden="1">"A33238"</definedName>
    <definedName name="FDD_117_8" hidden="1">"A33603"</definedName>
    <definedName name="FDD_117_9" hidden="1">"A33969"</definedName>
    <definedName name="FDD_118_0" hidden="1">"A30681"</definedName>
    <definedName name="FDD_118_1" hidden="1">"A31047"</definedName>
    <definedName name="FDD_118_10" hidden="1">"A34334"</definedName>
    <definedName name="FDD_118_11" hidden="1">"A34699"</definedName>
    <definedName name="FDD_118_12" hidden="1">"A35064"</definedName>
    <definedName name="FDD_118_13" hidden="1">"A35430"</definedName>
    <definedName name="FDD_118_14" hidden="1">"A35795"</definedName>
    <definedName name="FDD_118_2" hidden="1">"A31412"</definedName>
    <definedName name="FDD_118_3" hidden="1">"A31777"</definedName>
    <definedName name="FDD_118_4" hidden="1">"A32142"</definedName>
    <definedName name="FDD_118_5" hidden="1">"A32508"</definedName>
    <definedName name="FDD_118_6" hidden="1">"A32873"</definedName>
    <definedName name="FDD_118_7" hidden="1">"A33238"</definedName>
    <definedName name="FDD_118_8" hidden="1">"A33603"</definedName>
    <definedName name="FDD_118_9" hidden="1">"A33969"</definedName>
    <definedName name="FDD_119_0" hidden="1">"A30681"</definedName>
    <definedName name="FDD_119_1" hidden="1">"A31047"</definedName>
    <definedName name="FDD_119_10" hidden="1">"A34334"</definedName>
    <definedName name="FDD_119_11" hidden="1">"A34699"</definedName>
    <definedName name="FDD_119_12" hidden="1">"A35064"</definedName>
    <definedName name="FDD_119_13" hidden="1">"A35430"</definedName>
    <definedName name="FDD_119_14" hidden="1">"A35795"</definedName>
    <definedName name="FDD_119_2" hidden="1">"A31412"</definedName>
    <definedName name="FDD_119_3" hidden="1">"A31777"</definedName>
    <definedName name="FDD_119_4" hidden="1">"A32142"</definedName>
    <definedName name="FDD_119_5" hidden="1">"A32508"</definedName>
    <definedName name="FDD_119_6" hidden="1">"A32873"</definedName>
    <definedName name="FDD_119_7" hidden="1">"A33238"</definedName>
    <definedName name="FDD_119_8" hidden="1">"A33603"</definedName>
    <definedName name="FDD_119_9" hidden="1">"A33969"</definedName>
    <definedName name="FDD_12_0" hidden="1">"A25569"</definedName>
    <definedName name="FDD_120_0" hidden="1">"A30681"</definedName>
    <definedName name="FDD_120_1" hidden="1">"A31047"</definedName>
    <definedName name="FDD_120_10" hidden="1">"A34334"</definedName>
    <definedName name="FDD_120_11" hidden="1">"A34699"</definedName>
    <definedName name="FDD_120_12" hidden="1">"A35064"</definedName>
    <definedName name="FDD_120_13" hidden="1">"A35430"</definedName>
    <definedName name="FDD_120_14" hidden="1">"A35795"</definedName>
    <definedName name="FDD_120_2" hidden="1">"A31412"</definedName>
    <definedName name="FDD_120_3" hidden="1">"A31777"</definedName>
    <definedName name="FDD_120_4" hidden="1">"A32142"</definedName>
    <definedName name="FDD_120_5" hidden="1">"A32508"</definedName>
    <definedName name="FDD_120_6" hidden="1">"A32873"</definedName>
    <definedName name="FDD_120_7" hidden="1">"A33238"</definedName>
    <definedName name="FDD_120_8" hidden="1">"A33603"</definedName>
    <definedName name="FDD_120_9" hidden="1">"A33969"</definedName>
    <definedName name="FDD_121_0" hidden="1">"A30681"</definedName>
    <definedName name="FDD_121_1" hidden="1">"A31047"</definedName>
    <definedName name="FDD_121_10" hidden="1">"A34334"</definedName>
    <definedName name="FDD_121_11" hidden="1">"A34699"</definedName>
    <definedName name="FDD_121_12" hidden="1">"A35064"</definedName>
    <definedName name="FDD_121_13" hidden="1">"A35430"</definedName>
    <definedName name="FDD_121_14" hidden="1">"A35795"</definedName>
    <definedName name="FDD_121_2" hidden="1">"A31412"</definedName>
    <definedName name="FDD_121_3" hidden="1">"A31777"</definedName>
    <definedName name="FDD_121_4" hidden="1">"A32142"</definedName>
    <definedName name="FDD_121_5" hidden="1">"A32508"</definedName>
    <definedName name="FDD_121_6" hidden="1">"A32873"</definedName>
    <definedName name="FDD_121_7" hidden="1">"A33238"</definedName>
    <definedName name="FDD_121_8" hidden="1">"A33603"</definedName>
    <definedName name="FDD_121_9" hidden="1">"A33969"</definedName>
    <definedName name="FDD_122_0" hidden="1">"A30681"</definedName>
    <definedName name="FDD_122_1" hidden="1">"A31047"</definedName>
    <definedName name="FDD_122_10" hidden="1">"A34334"</definedName>
    <definedName name="FDD_122_11" hidden="1">"A34699"</definedName>
    <definedName name="FDD_122_12" hidden="1">"A35064"</definedName>
    <definedName name="FDD_122_13" hidden="1">"A35430"</definedName>
    <definedName name="FDD_122_14" hidden="1">"A35795"</definedName>
    <definedName name="FDD_122_2" hidden="1">"A31412"</definedName>
    <definedName name="FDD_122_3" hidden="1">"A31777"</definedName>
    <definedName name="FDD_122_4" hidden="1">"A32142"</definedName>
    <definedName name="FDD_122_5" hidden="1">"A32508"</definedName>
    <definedName name="FDD_122_6" hidden="1">"A32873"</definedName>
    <definedName name="FDD_122_7" hidden="1">"A33238"</definedName>
    <definedName name="FDD_122_8" hidden="1">"A33603"</definedName>
    <definedName name="FDD_122_9" hidden="1">"A33969"</definedName>
    <definedName name="FDD_123_0" hidden="1">"A30681"</definedName>
    <definedName name="FDD_123_1" hidden="1">"A31047"</definedName>
    <definedName name="FDD_123_10" hidden="1">"A34334"</definedName>
    <definedName name="FDD_123_11" hidden="1">"A34699"</definedName>
    <definedName name="FDD_123_12" hidden="1">"A35064"</definedName>
    <definedName name="FDD_123_13" hidden="1">"A35430"</definedName>
    <definedName name="FDD_123_14" hidden="1">"A35795"</definedName>
    <definedName name="FDD_123_2" hidden="1">"A31412"</definedName>
    <definedName name="FDD_123_3" hidden="1">"A31777"</definedName>
    <definedName name="FDD_123_4" hidden="1">"A32142"</definedName>
    <definedName name="FDD_123_5" hidden="1">"A32508"</definedName>
    <definedName name="FDD_123_6" hidden="1">"A32873"</definedName>
    <definedName name="FDD_123_7" hidden="1">"A33238"</definedName>
    <definedName name="FDD_123_8" hidden="1">"A33603"</definedName>
    <definedName name="FDD_123_9" hidden="1">"A33969"</definedName>
    <definedName name="FDD_124_0" hidden="1">"A30681"</definedName>
    <definedName name="FDD_124_1" hidden="1">"A31047"</definedName>
    <definedName name="FDD_124_10" hidden="1">"A34334"</definedName>
    <definedName name="FDD_124_11" hidden="1">"A34699"</definedName>
    <definedName name="FDD_124_12" hidden="1">"A35064"</definedName>
    <definedName name="FDD_124_13" hidden="1">"A35430"</definedName>
    <definedName name="FDD_124_14" hidden="1">"A35795"</definedName>
    <definedName name="FDD_124_2" hidden="1">"A31412"</definedName>
    <definedName name="FDD_124_3" hidden="1">"A31777"</definedName>
    <definedName name="FDD_124_4" hidden="1">"A32142"</definedName>
    <definedName name="FDD_124_5" hidden="1">"A32508"</definedName>
    <definedName name="FDD_124_6" hidden="1">"A32873"</definedName>
    <definedName name="FDD_124_7" hidden="1">"A33238"</definedName>
    <definedName name="FDD_124_8" hidden="1">"A33603"</definedName>
    <definedName name="FDD_124_9" hidden="1">"A33969"</definedName>
    <definedName name="FDD_125_0" hidden="1">"A30681"</definedName>
    <definedName name="FDD_125_1" hidden="1">"A31047"</definedName>
    <definedName name="FDD_125_10" hidden="1">"A34334"</definedName>
    <definedName name="FDD_125_11" hidden="1">"A34699"</definedName>
    <definedName name="FDD_125_12" hidden="1">"A35064"</definedName>
    <definedName name="FDD_125_13" hidden="1">"A35430"</definedName>
    <definedName name="FDD_125_14" hidden="1">"A35795"</definedName>
    <definedName name="FDD_125_2" hidden="1">"A31412"</definedName>
    <definedName name="FDD_125_3" hidden="1">"A31777"</definedName>
    <definedName name="FDD_125_4" hidden="1">"A32142"</definedName>
    <definedName name="FDD_125_5" hidden="1">"A32508"</definedName>
    <definedName name="FDD_125_6" hidden="1">"A32873"</definedName>
    <definedName name="FDD_125_7" hidden="1">"A33238"</definedName>
    <definedName name="FDD_125_8" hidden="1">"A33603"</definedName>
    <definedName name="FDD_125_9" hidden="1">"A33969"</definedName>
    <definedName name="FDD_126_0" hidden="1">"A30681"</definedName>
    <definedName name="FDD_126_1" hidden="1">"A31047"</definedName>
    <definedName name="FDD_126_10" hidden="1">"A34334"</definedName>
    <definedName name="FDD_126_11" hidden="1">"A34699"</definedName>
    <definedName name="FDD_126_12" hidden="1">"A35064"</definedName>
    <definedName name="FDD_126_13" hidden="1">"A35430"</definedName>
    <definedName name="FDD_126_14" hidden="1">"A35795"</definedName>
    <definedName name="FDD_126_2" hidden="1">"A31412"</definedName>
    <definedName name="FDD_126_3" hidden="1">"A31777"</definedName>
    <definedName name="FDD_126_4" hidden="1">"A32142"</definedName>
    <definedName name="FDD_126_5" hidden="1">"A32508"</definedName>
    <definedName name="FDD_126_6" hidden="1">"A32873"</definedName>
    <definedName name="FDD_126_7" hidden="1">"A33238"</definedName>
    <definedName name="FDD_126_8" hidden="1">"A33603"</definedName>
    <definedName name="FDD_126_9" hidden="1">"A33969"</definedName>
    <definedName name="FDD_127_0" hidden="1">"A30681"</definedName>
    <definedName name="FDD_127_1" hidden="1">"A31047"</definedName>
    <definedName name="FDD_127_10" hidden="1">"A34334"</definedName>
    <definedName name="FDD_127_11" hidden="1">"A34699"</definedName>
    <definedName name="FDD_127_12" hidden="1">"A35064"</definedName>
    <definedName name="FDD_127_13" hidden="1">"A35430"</definedName>
    <definedName name="FDD_127_14" hidden="1">"A35795"</definedName>
    <definedName name="FDD_127_2" hidden="1">"A31412"</definedName>
    <definedName name="FDD_127_3" hidden="1">"A31777"</definedName>
    <definedName name="FDD_127_4" hidden="1">"A32142"</definedName>
    <definedName name="FDD_127_5" hidden="1">"A32508"</definedName>
    <definedName name="FDD_127_6" hidden="1">"A32873"</definedName>
    <definedName name="FDD_127_7" hidden="1">"A33238"</definedName>
    <definedName name="FDD_127_8" hidden="1">"A33603"</definedName>
    <definedName name="FDD_127_9" hidden="1">"A33969"</definedName>
    <definedName name="FDD_128_0" hidden="1">"A30681"</definedName>
    <definedName name="FDD_128_1" hidden="1">"A31047"</definedName>
    <definedName name="FDD_128_10" hidden="1">"A34334"</definedName>
    <definedName name="FDD_128_11" hidden="1">"A34699"</definedName>
    <definedName name="FDD_128_12" hidden="1">"A35064"</definedName>
    <definedName name="FDD_128_13" hidden="1">"A35430"</definedName>
    <definedName name="FDD_128_14" hidden="1">"A35795"</definedName>
    <definedName name="FDD_128_2" hidden="1">"A31412"</definedName>
    <definedName name="FDD_128_3" hidden="1">"A31777"</definedName>
    <definedName name="FDD_128_4" hidden="1">"A32142"</definedName>
    <definedName name="FDD_128_5" hidden="1">"A32508"</definedName>
    <definedName name="FDD_128_6" hidden="1">"A32873"</definedName>
    <definedName name="FDD_128_7" hidden="1">"A33238"</definedName>
    <definedName name="FDD_128_8" hidden="1">"A33603"</definedName>
    <definedName name="FDD_128_9" hidden="1">"A33969"</definedName>
    <definedName name="FDD_129_0" hidden="1">"A30681"</definedName>
    <definedName name="FDD_129_1" hidden="1">"A31047"</definedName>
    <definedName name="FDD_129_10" hidden="1">"A34334"</definedName>
    <definedName name="FDD_129_11" hidden="1">"A34699"</definedName>
    <definedName name="FDD_129_12" hidden="1">"A35064"</definedName>
    <definedName name="FDD_129_13" hidden="1">"A35430"</definedName>
    <definedName name="FDD_129_14" hidden="1">"A35795"</definedName>
    <definedName name="FDD_129_2" hidden="1">"A31412"</definedName>
    <definedName name="FDD_129_3" hidden="1">"A31777"</definedName>
    <definedName name="FDD_129_4" hidden="1">"A32142"</definedName>
    <definedName name="FDD_129_5" hidden="1">"A32508"</definedName>
    <definedName name="FDD_129_6" hidden="1">"A32873"</definedName>
    <definedName name="FDD_129_7" hidden="1">"A33238"</definedName>
    <definedName name="FDD_129_8" hidden="1">"A33603"</definedName>
    <definedName name="FDD_129_9" hidden="1">"A33969"</definedName>
    <definedName name="FDD_13_0" hidden="1">"A25569"</definedName>
    <definedName name="FDD_130_0" hidden="1">"A30681"</definedName>
    <definedName name="FDD_130_1" hidden="1">"A31047"</definedName>
    <definedName name="FDD_130_10" hidden="1">"A34334"</definedName>
    <definedName name="FDD_130_11" hidden="1">"A34699"</definedName>
    <definedName name="FDD_130_12" hidden="1">"A35064"</definedName>
    <definedName name="FDD_130_13" hidden="1">"A35430"</definedName>
    <definedName name="FDD_130_14" hidden="1">"A35795"</definedName>
    <definedName name="FDD_130_2" hidden="1">"A31412"</definedName>
    <definedName name="FDD_130_3" hidden="1">"A31777"</definedName>
    <definedName name="FDD_130_4" hidden="1">"A32142"</definedName>
    <definedName name="FDD_130_5" hidden="1">"A32508"</definedName>
    <definedName name="FDD_130_6" hidden="1">"A32873"</definedName>
    <definedName name="FDD_130_7" hidden="1">"A33238"</definedName>
    <definedName name="FDD_130_8" hidden="1">"A33603"</definedName>
    <definedName name="FDD_130_9" hidden="1">"A33969"</definedName>
    <definedName name="FDD_131_0" hidden="1">"A30681"</definedName>
    <definedName name="FDD_131_1" hidden="1">"A31047"</definedName>
    <definedName name="FDD_131_10" hidden="1">"A34334"</definedName>
    <definedName name="FDD_131_11" hidden="1">"A34699"</definedName>
    <definedName name="FDD_131_12" hidden="1">"A35064"</definedName>
    <definedName name="FDD_131_13" hidden="1">"A35430"</definedName>
    <definedName name="FDD_131_14" hidden="1">"A35795"</definedName>
    <definedName name="FDD_131_2" hidden="1">"A31412"</definedName>
    <definedName name="FDD_131_3" hidden="1">"A31777"</definedName>
    <definedName name="FDD_131_4" hidden="1">"A32142"</definedName>
    <definedName name="FDD_131_5" hidden="1">"A32508"</definedName>
    <definedName name="FDD_131_6" hidden="1">"A32873"</definedName>
    <definedName name="FDD_131_7" hidden="1">"A33238"</definedName>
    <definedName name="FDD_131_8" hidden="1">"A33603"</definedName>
    <definedName name="FDD_131_9" hidden="1">"A33969"</definedName>
    <definedName name="FDD_132_0" hidden="1">"U30681"</definedName>
    <definedName name="FDD_132_1" hidden="1">"U31047"</definedName>
    <definedName name="FDD_132_10" hidden="1">"U34334"</definedName>
    <definedName name="FDD_132_11" hidden="1">"U34699"</definedName>
    <definedName name="FDD_132_12" hidden="1">"U35064"</definedName>
    <definedName name="FDD_132_13" hidden="1">"U35430"</definedName>
    <definedName name="FDD_132_14" hidden="1">"U35795"</definedName>
    <definedName name="FDD_132_2" hidden="1">"U31412"</definedName>
    <definedName name="FDD_132_3" hidden="1">"U31777"</definedName>
    <definedName name="FDD_132_4" hidden="1">"U32142"</definedName>
    <definedName name="FDD_132_5" hidden="1">"U32508"</definedName>
    <definedName name="FDD_132_6" hidden="1">"U32873"</definedName>
    <definedName name="FDD_132_7" hidden="1">"U33238"</definedName>
    <definedName name="FDD_132_8" hidden="1">"U33603"</definedName>
    <definedName name="FDD_132_9" hidden="1">"U33969"</definedName>
    <definedName name="FDD_133_0" hidden="1">"A30681"</definedName>
    <definedName name="FDD_133_1" hidden="1">"A31047"</definedName>
    <definedName name="FDD_133_10" hidden="1">"A34334"</definedName>
    <definedName name="FDD_133_11" hidden="1">"A34699"</definedName>
    <definedName name="FDD_133_12" hidden="1">"A35064"</definedName>
    <definedName name="FDD_133_13" hidden="1">"A35430"</definedName>
    <definedName name="FDD_133_14" hidden="1">"A35795"</definedName>
    <definedName name="FDD_133_2" hidden="1">"A31412"</definedName>
    <definedName name="FDD_133_3" hidden="1">"A31777"</definedName>
    <definedName name="FDD_133_4" hidden="1">"A32142"</definedName>
    <definedName name="FDD_133_5" hidden="1">"A32508"</definedName>
    <definedName name="FDD_133_6" hidden="1">"A32873"</definedName>
    <definedName name="FDD_133_7" hidden="1">"A33238"</definedName>
    <definedName name="FDD_133_8" hidden="1">"A33603"</definedName>
    <definedName name="FDD_133_9" hidden="1">"A33969"</definedName>
    <definedName name="FDD_134_0" hidden="1">"A30681"</definedName>
    <definedName name="FDD_134_1" hidden="1">"A31047"</definedName>
    <definedName name="FDD_134_10" hidden="1">"A34334"</definedName>
    <definedName name="FDD_134_11" hidden="1">"A34699"</definedName>
    <definedName name="FDD_134_12" hidden="1">"A35064"</definedName>
    <definedName name="FDD_134_13" hidden="1">"A35430"</definedName>
    <definedName name="FDD_134_14" hidden="1">"A35795"</definedName>
    <definedName name="FDD_134_2" hidden="1">"A31412"</definedName>
    <definedName name="FDD_134_3" hidden="1">"A31777"</definedName>
    <definedName name="FDD_134_4" hidden="1">"A32142"</definedName>
    <definedName name="FDD_134_5" hidden="1">"A32508"</definedName>
    <definedName name="FDD_134_6" hidden="1">"A32873"</definedName>
    <definedName name="FDD_134_7" hidden="1">"A33238"</definedName>
    <definedName name="FDD_134_8" hidden="1">"A33603"</definedName>
    <definedName name="FDD_134_9" hidden="1">"A33969"</definedName>
    <definedName name="FDD_135_0" hidden="1">"A30681"</definedName>
    <definedName name="FDD_135_1" hidden="1">"A31047"</definedName>
    <definedName name="FDD_135_10" hidden="1">"A34334"</definedName>
    <definedName name="FDD_135_11" hidden="1">"A34699"</definedName>
    <definedName name="FDD_135_12" hidden="1">"A35064"</definedName>
    <definedName name="FDD_135_13" hidden="1">"A35430"</definedName>
    <definedName name="FDD_135_14" hidden="1">"A35795"</definedName>
    <definedName name="FDD_135_2" hidden="1">"A31412"</definedName>
    <definedName name="FDD_135_3" hidden="1">"A31777"</definedName>
    <definedName name="FDD_135_4" hidden="1">"A32142"</definedName>
    <definedName name="FDD_135_5" hidden="1">"A32508"</definedName>
    <definedName name="FDD_135_6" hidden="1">"A32873"</definedName>
    <definedName name="FDD_135_7" hidden="1">"A33238"</definedName>
    <definedName name="FDD_135_8" hidden="1">"A33603"</definedName>
    <definedName name="FDD_135_9" hidden="1">"A33969"</definedName>
    <definedName name="FDD_136_0" hidden="1">"A30681"</definedName>
    <definedName name="FDD_136_1" hidden="1">"A31047"</definedName>
    <definedName name="FDD_136_10" hidden="1">"A34334"</definedName>
    <definedName name="FDD_136_11" hidden="1">"A34699"</definedName>
    <definedName name="FDD_136_12" hidden="1">"A35064"</definedName>
    <definedName name="FDD_136_13" hidden="1">"A35430"</definedName>
    <definedName name="FDD_136_14" hidden="1">"A35795"</definedName>
    <definedName name="FDD_136_2" hidden="1">"A31412"</definedName>
    <definedName name="FDD_136_3" hidden="1">"A31777"</definedName>
    <definedName name="FDD_136_4" hidden="1">"A32142"</definedName>
    <definedName name="FDD_136_5" hidden="1">"A32508"</definedName>
    <definedName name="FDD_136_6" hidden="1">"A32873"</definedName>
    <definedName name="FDD_136_7" hidden="1">"A33238"</definedName>
    <definedName name="FDD_136_8" hidden="1">"A33603"</definedName>
    <definedName name="FDD_136_9" hidden="1">"A33969"</definedName>
    <definedName name="FDD_137_0" hidden="1">"A30681"</definedName>
    <definedName name="FDD_137_1" hidden="1">"A31047"</definedName>
    <definedName name="FDD_137_10" hidden="1">"A34334"</definedName>
    <definedName name="FDD_137_11" hidden="1">"A34699"</definedName>
    <definedName name="FDD_137_12" hidden="1">"A35064"</definedName>
    <definedName name="FDD_137_13" hidden="1">"A35430"</definedName>
    <definedName name="FDD_137_14" hidden="1">"A35795"</definedName>
    <definedName name="FDD_137_2" hidden="1">"A31412"</definedName>
    <definedName name="FDD_137_3" hidden="1">"A31777"</definedName>
    <definedName name="FDD_137_4" hidden="1">"A32142"</definedName>
    <definedName name="FDD_137_5" hidden="1">"A32508"</definedName>
    <definedName name="FDD_137_6" hidden="1">"A32873"</definedName>
    <definedName name="FDD_137_7" hidden="1">"A33238"</definedName>
    <definedName name="FDD_137_8" hidden="1">"A33603"</definedName>
    <definedName name="FDD_137_9" hidden="1">"A33969"</definedName>
    <definedName name="FDD_138_0" hidden="1">"A30681"</definedName>
    <definedName name="FDD_138_1" hidden="1">"A31047"</definedName>
    <definedName name="FDD_138_10" hidden="1">"A34334"</definedName>
    <definedName name="FDD_138_11" hidden="1">"A34699"</definedName>
    <definedName name="FDD_138_12" hidden="1">"A35064"</definedName>
    <definedName name="FDD_138_13" hidden="1">"A35430"</definedName>
    <definedName name="FDD_138_14" hidden="1">"A35795"</definedName>
    <definedName name="FDD_138_2" hidden="1">"A31412"</definedName>
    <definedName name="FDD_138_3" hidden="1">"A31777"</definedName>
    <definedName name="FDD_138_4" hidden="1">"A32142"</definedName>
    <definedName name="FDD_138_5" hidden="1">"A32508"</definedName>
    <definedName name="FDD_138_6" hidden="1">"A32873"</definedName>
    <definedName name="FDD_138_7" hidden="1">"A33238"</definedName>
    <definedName name="FDD_138_8" hidden="1">"A33603"</definedName>
    <definedName name="FDD_138_9" hidden="1">"A33969"</definedName>
    <definedName name="FDD_139_0" hidden="1">"A30681"</definedName>
    <definedName name="FDD_139_1" hidden="1">"A31047"</definedName>
    <definedName name="FDD_139_10" hidden="1">"U34334"</definedName>
    <definedName name="FDD_139_11" hidden="1">"U34699"</definedName>
    <definedName name="FDD_139_12" hidden="1">"U35064"</definedName>
    <definedName name="FDD_139_13" hidden="1">"U35430"</definedName>
    <definedName name="FDD_139_14" hidden="1">"U35795"</definedName>
    <definedName name="FDD_139_2" hidden="1">"A31412"</definedName>
    <definedName name="FDD_139_3" hidden="1">"U31777"</definedName>
    <definedName name="FDD_139_4" hidden="1">"U32142"</definedName>
    <definedName name="FDD_139_5" hidden="1">"U32508"</definedName>
    <definedName name="FDD_139_6" hidden="1">"U32873"</definedName>
    <definedName name="FDD_139_7" hidden="1">"U33238"</definedName>
    <definedName name="FDD_139_8" hidden="1">"U33603"</definedName>
    <definedName name="FDD_139_9" hidden="1">"U33969"</definedName>
    <definedName name="FDD_14_0" hidden="1">"A25569"</definedName>
    <definedName name="FDD_140_0" hidden="1">"A25569"</definedName>
    <definedName name="FDD_141_0" hidden="1">"A30681"</definedName>
    <definedName name="FDD_141_1" hidden="1">"A31047"</definedName>
    <definedName name="FDD_141_10" hidden="1">"A34334"</definedName>
    <definedName name="FDD_141_11" hidden="1">"A34699"</definedName>
    <definedName name="FDD_141_12" hidden="1">"A35064"</definedName>
    <definedName name="FDD_141_13" hidden="1">"A35430"</definedName>
    <definedName name="FDD_141_14" hidden="1">"A35795"</definedName>
    <definedName name="FDD_141_2" hidden="1">"A31412"</definedName>
    <definedName name="FDD_141_3" hidden="1">"A31777"</definedName>
    <definedName name="FDD_141_4" hidden="1">"A32142"</definedName>
    <definedName name="FDD_141_5" hidden="1">"A32508"</definedName>
    <definedName name="FDD_141_6" hidden="1">"A32873"</definedName>
    <definedName name="FDD_141_7" hidden="1">"A33238"</definedName>
    <definedName name="FDD_141_8" hidden="1">"A33603"</definedName>
    <definedName name="FDD_141_9" hidden="1">"A33969"</definedName>
    <definedName name="FDD_142_0" hidden="1">"A30681"</definedName>
    <definedName name="FDD_142_1" hidden="1">"A31047"</definedName>
    <definedName name="FDD_142_10" hidden="1">"A34334"</definedName>
    <definedName name="FDD_142_11" hidden="1">"A34699"</definedName>
    <definedName name="FDD_142_12" hidden="1">"A35064"</definedName>
    <definedName name="FDD_142_13" hidden="1">"A35430"</definedName>
    <definedName name="FDD_142_14" hidden="1">"A35795"</definedName>
    <definedName name="FDD_142_2" hidden="1">"A31412"</definedName>
    <definedName name="FDD_142_3" hidden="1">"A31777"</definedName>
    <definedName name="FDD_142_4" hidden="1">"A32142"</definedName>
    <definedName name="FDD_142_5" hidden="1">"A32508"</definedName>
    <definedName name="FDD_142_6" hidden="1">"A32873"</definedName>
    <definedName name="FDD_142_7" hidden="1">"A33238"</definedName>
    <definedName name="FDD_142_8" hidden="1">"A33603"</definedName>
    <definedName name="FDD_142_9" hidden="1">"A33969"</definedName>
    <definedName name="FDD_143_0" hidden="1">"A30681"</definedName>
    <definedName name="FDD_143_1" hidden="1">"A31047"</definedName>
    <definedName name="FDD_143_10" hidden="1">"A34334"</definedName>
    <definedName name="FDD_143_11" hidden="1">"A34699"</definedName>
    <definedName name="FDD_143_12" hidden="1">"A35064"</definedName>
    <definedName name="FDD_143_13" hidden="1">"A35430"</definedName>
    <definedName name="FDD_143_14" hidden="1">"A35795"</definedName>
    <definedName name="FDD_143_2" hidden="1">"A31412"</definedName>
    <definedName name="FDD_143_3" hidden="1">"A31777"</definedName>
    <definedName name="FDD_143_4" hidden="1">"A32142"</definedName>
    <definedName name="FDD_143_5" hidden="1">"A32508"</definedName>
    <definedName name="FDD_143_6" hidden="1">"A32873"</definedName>
    <definedName name="FDD_143_7" hidden="1">"A33238"</definedName>
    <definedName name="FDD_143_8" hidden="1">"A33603"</definedName>
    <definedName name="FDD_143_9" hidden="1">"A33969"</definedName>
    <definedName name="FDD_144_0" hidden="1">"A30681"</definedName>
    <definedName name="FDD_144_1" hidden="1">"A31047"</definedName>
    <definedName name="FDD_144_10" hidden="1">"A34334"</definedName>
    <definedName name="FDD_144_11" hidden="1">"A34699"</definedName>
    <definedName name="FDD_144_12" hidden="1">"A35064"</definedName>
    <definedName name="FDD_144_13" hidden="1">"A35430"</definedName>
    <definedName name="FDD_144_14" hidden="1">"A35795"</definedName>
    <definedName name="FDD_144_2" hidden="1">"A31412"</definedName>
    <definedName name="FDD_144_3" hidden="1">"A31777"</definedName>
    <definedName name="FDD_144_4" hidden="1">"A32142"</definedName>
    <definedName name="FDD_144_5" hidden="1">"A32508"</definedName>
    <definedName name="FDD_144_6" hidden="1">"A32873"</definedName>
    <definedName name="FDD_144_7" hidden="1">"A33238"</definedName>
    <definedName name="FDD_144_8" hidden="1">"A33603"</definedName>
    <definedName name="FDD_144_9" hidden="1">"A33969"</definedName>
    <definedName name="FDD_145_0" hidden="1">"A30681"</definedName>
    <definedName name="FDD_145_1" hidden="1">"A31047"</definedName>
    <definedName name="FDD_145_10" hidden="1">"A34334"</definedName>
    <definedName name="FDD_145_11" hidden="1">"A34699"</definedName>
    <definedName name="FDD_145_12" hidden="1">"A35064"</definedName>
    <definedName name="FDD_145_13" hidden="1">"A35430"</definedName>
    <definedName name="FDD_145_14" hidden="1">"A35795"</definedName>
    <definedName name="FDD_145_2" hidden="1">"A31412"</definedName>
    <definedName name="FDD_145_3" hidden="1">"A31777"</definedName>
    <definedName name="FDD_145_4" hidden="1">"A32142"</definedName>
    <definedName name="FDD_145_5" hidden="1">"A32508"</definedName>
    <definedName name="FDD_145_6" hidden="1">"A32873"</definedName>
    <definedName name="FDD_145_7" hidden="1">"A33238"</definedName>
    <definedName name="FDD_145_8" hidden="1">"A33603"</definedName>
    <definedName name="FDD_145_9" hidden="1">"A33969"</definedName>
    <definedName name="FDD_146_0" hidden="1">"A30681"</definedName>
    <definedName name="FDD_146_1" hidden="1">"A31047"</definedName>
    <definedName name="FDD_146_10" hidden="1">"A34334"</definedName>
    <definedName name="FDD_146_11" hidden="1">"A34699"</definedName>
    <definedName name="FDD_146_12" hidden="1">"A35064"</definedName>
    <definedName name="FDD_146_13" hidden="1">"A35430"</definedName>
    <definedName name="FDD_146_14" hidden="1">"A35795"</definedName>
    <definedName name="FDD_146_2" hidden="1">"A31412"</definedName>
    <definedName name="FDD_146_3" hidden="1">"A31777"</definedName>
    <definedName name="FDD_146_4" hidden="1">"A32142"</definedName>
    <definedName name="FDD_146_5" hidden="1">"A32508"</definedName>
    <definedName name="FDD_146_6" hidden="1">"A32873"</definedName>
    <definedName name="FDD_146_7" hidden="1">"A33238"</definedName>
    <definedName name="FDD_146_8" hidden="1">"A33603"</definedName>
    <definedName name="FDD_146_9" hidden="1">"A33969"</definedName>
    <definedName name="FDD_147_0" hidden="1">"U30681"</definedName>
    <definedName name="FDD_147_1" hidden="1">"U31047"</definedName>
    <definedName name="FDD_147_10" hidden="1">"U34334"</definedName>
    <definedName name="FDD_147_11" hidden="1">"U34699"</definedName>
    <definedName name="FDD_147_12" hidden="1">"U35064"</definedName>
    <definedName name="FDD_147_13" hidden="1">"U35430"</definedName>
    <definedName name="FDD_147_14" hidden="1">"U35795"</definedName>
    <definedName name="FDD_147_2" hidden="1">"U31412"</definedName>
    <definedName name="FDD_147_3" hidden="1">"U31777"</definedName>
    <definedName name="FDD_147_4" hidden="1">"U32142"</definedName>
    <definedName name="FDD_147_5" hidden="1">"U32508"</definedName>
    <definedName name="FDD_147_6" hidden="1">"U32873"</definedName>
    <definedName name="FDD_147_7" hidden="1">"U33238"</definedName>
    <definedName name="FDD_147_8" hidden="1">"U33603"</definedName>
    <definedName name="FDD_147_9" hidden="1">"U33969"</definedName>
    <definedName name="FDD_148_0" hidden="1">"A30681"</definedName>
    <definedName name="FDD_148_1" hidden="1">"A31047"</definedName>
    <definedName name="FDD_148_10" hidden="1">"A34334"</definedName>
    <definedName name="FDD_148_11" hidden="1">"A34699"</definedName>
    <definedName name="FDD_148_12" hidden="1">"A35064"</definedName>
    <definedName name="FDD_148_13" hidden="1">"A35430"</definedName>
    <definedName name="FDD_148_14" hidden="1">"A35795"</definedName>
    <definedName name="FDD_148_2" hidden="1">"A31412"</definedName>
    <definedName name="FDD_148_3" hidden="1">"A31777"</definedName>
    <definedName name="FDD_148_4" hidden="1">"A32142"</definedName>
    <definedName name="FDD_148_5" hidden="1">"A32508"</definedName>
    <definedName name="FDD_148_6" hidden="1">"A32873"</definedName>
    <definedName name="FDD_148_7" hidden="1">"A33238"</definedName>
    <definedName name="FDD_148_8" hidden="1">"A33603"</definedName>
    <definedName name="FDD_148_9" hidden="1">"A33969"</definedName>
    <definedName name="FDD_149_0" hidden="1">"U30681"</definedName>
    <definedName name="FDD_149_1" hidden="1">"U31047"</definedName>
    <definedName name="FDD_149_10" hidden="1">"U34334"</definedName>
    <definedName name="FDD_149_11" hidden="1">"U34699"</definedName>
    <definedName name="FDD_149_12" hidden="1">"U35064"</definedName>
    <definedName name="FDD_149_13" hidden="1">"U35430"</definedName>
    <definedName name="FDD_149_14" hidden="1">"A35795"</definedName>
    <definedName name="FDD_149_2" hidden="1">"U31412"</definedName>
    <definedName name="FDD_149_3" hidden="1">"U31777"</definedName>
    <definedName name="FDD_149_4" hidden="1">"U32142"</definedName>
    <definedName name="FDD_149_5" hidden="1">"U32508"</definedName>
    <definedName name="FDD_149_6" hidden="1">"U32873"</definedName>
    <definedName name="FDD_149_7" hidden="1">"U33238"</definedName>
    <definedName name="FDD_149_8" hidden="1">"U33603"</definedName>
    <definedName name="FDD_149_9" hidden="1">"U33969"</definedName>
    <definedName name="FDD_15_0" hidden="1">"A25569"</definedName>
    <definedName name="FDD_151_0" hidden="1">"A30681"</definedName>
    <definedName name="FDD_151_1" hidden="1">"A31047"</definedName>
    <definedName name="FDD_151_10" hidden="1">"A34334"</definedName>
    <definedName name="FDD_151_11" hidden="1">"A34699"</definedName>
    <definedName name="FDD_151_12" hidden="1">"A35064"</definedName>
    <definedName name="FDD_151_13" hidden="1">"A35430"</definedName>
    <definedName name="FDD_151_14" hidden="1">"A35795"</definedName>
    <definedName name="FDD_151_2" hidden="1">"A31412"</definedName>
    <definedName name="FDD_151_3" hidden="1">"A31777"</definedName>
    <definedName name="FDD_151_4" hidden="1">"A32142"</definedName>
    <definedName name="FDD_151_5" hidden="1">"A32508"</definedName>
    <definedName name="FDD_151_6" hidden="1">"A32873"</definedName>
    <definedName name="FDD_151_7" hidden="1">"A33238"</definedName>
    <definedName name="FDD_151_8" hidden="1">"A33603"</definedName>
    <definedName name="FDD_151_9" hidden="1">"A33969"</definedName>
    <definedName name="FDD_152_0" hidden="1">"A30681"</definedName>
    <definedName name="FDD_152_1" hidden="1">"A31047"</definedName>
    <definedName name="FDD_152_10" hidden="1">"A34334"</definedName>
    <definedName name="FDD_152_11" hidden="1">"A34699"</definedName>
    <definedName name="FDD_152_12" hidden="1">"A35064"</definedName>
    <definedName name="FDD_152_13" hidden="1">"A35430"</definedName>
    <definedName name="FDD_152_14" hidden="1">"A35795"</definedName>
    <definedName name="FDD_152_15" hidden="1">"E36160"</definedName>
    <definedName name="FDD_152_2" hidden="1">"A31412"</definedName>
    <definedName name="FDD_152_3" hidden="1">"A31777"</definedName>
    <definedName name="FDD_152_4" hidden="1">"A32142"</definedName>
    <definedName name="FDD_152_5" hidden="1">"A32508"</definedName>
    <definedName name="FDD_152_6" hidden="1">"A32873"</definedName>
    <definedName name="FDD_152_7" hidden="1">"A33238"</definedName>
    <definedName name="FDD_152_8" hidden="1">"A33603"</definedName>
    <definedName name="FDD_152_9" hidden="1">"A33969"</definedName>
    <definedName name="FDD_153_0" hidden="1">"A30681"</definedName>
    <definedName name="FDD_153_1" hidden="1">"A31047"</definedName>
    <definedName name="FDD_153_10" hidden="1">"A34334"</definedName>
    <definedName name="FDD_153_11" hidden="1">"A34699"</definedName>
    <definedName name="FDD_153_12" hidden="1">"A35064"</definedName>
    <definedName name="FDD_153_13" hidden="1">"A35430"</definedName>
    <definedName name="FDD_153_14" hidden="1">"A35795"</definedName>
    <definedName name="FDD_153_2" hidden="1">"A31412"</definedName>
    <definedName name="FDD_153_3" hidden="1">"A31777"</definedName>
    <definedName name="FDD_153_4" hidden="1">"A32142"</definedName>
    <definedName name="FDD_153_5" hidden="1">"A32508"</definedName>
    <definedName name="FDD_153_6" hidden="1">"A32873"</definedName>
    <definedName name="FDD_153_7" hidden="1">"A33238"</definedName>
    <definedName name="FDD_153_8" hidden="1">"A33603"</definedName>
    <definedName name="FDD_153_9" hidden="1">"A33969"</definedName>
    <definedName name="FDD_154_0" hidden="1">"A30681"</definedName>
    <definedName name="FDD_154_1" hidden="1">"A31047"</definedName>
    <definedName name="FDD_154_10" hidden="1">"A34334"</definedName>
    <definedName name="FDD_154_11" hidden="1">"A34699"</definedName>
    <definedName name="FDD_154_12" hidden="1">"A35064"</definedName>
    <definedName name="FDD_154_13" hidden="1">"A35430"</definedName>
    <definedName name="FDD_154_14" hidden="1">"A35795"</definedName>
    <definedName name="FDD_154_2" hidden="1">"A31412"</definedName>
    <definedName name="FDD_154_3" hidden="1">"A31777"</definedName>
    <definedName name="FDD_154_4" hidden="1">"A32142"</definedName>
    <definedName name="FDD_154_5" hidden="1">"A32508"</definedName>
    <definedName name="FDD_154_6" hidden="1">"A32873"</definedName>
    <definedName name="FDD_154_7" hidden="1">"A33238"</definedName>
    <definedName name="FDD_154_8" hidden="1">"A33603"</definedName>
    <definedName name="FDD_154_9" hidden="1">"A33969"</definedName>
    <definedName name="FDD_155_0" hidden="1">"A25569"</definedName>
    <definedName name="FDD_156_0" hidden="1">"A30681"</definedName>
    <definedName name="FDD_156_1" hidden="1">"A31047"</definedName>
    <definedName name="FDD_156_10" hidden="1">"A34334"</definedName>
    <definedName name="FDD_156_11" hidden="1">"A34699"</definedName>
    <definedName name="FDD_156_12" hidden="1">"A35064"</definedName>
    <definedName name="FDD_156_13" hidden="1">"A35430"</definedName>
    <definedName name="FDD_156_14" hidden="1">"A35795"</definedName>
    <definedName name="FDD_156_15" hidden="1">"E36160"</definedName>
    <definedName name="FDD_156_2" hidden="1">"A31412"</definedName>
    <definedName name="FDD_156_3" hidden="1">"A31777"</definedName>
    <definedName name="FDD_156_4" hidden="1">"A32142"</definedName>
    <definedName name="FDD_156_5" hidden="1">"A32508"</definedName>
    <definedName name="FDD_156_6" hidden="1">"A32873"</definedName>
    <definedName name="FDD_156_7" hidden="1">"A33238"</definedName>
    <definedName name="FDD_156_8" hidden="1">"A33603"</definedName>
    <definedName name="FDD_156_9" hidden="1">"A33969"</definedName>
    <definedName name="FDD_157_0" hidden="1">"A30681"</definedName>
    <definedName name="FDD_157_1" hidden="1">"A31047"</definedName>
    <definedName name="FDD_157_10" hidden="1">"A34334"</definedName>
    <definedName name="FDD_157_11" hidden="1">"A34699"</definedName>
    <definedName name="FDD_157_12" hidden="1">"A35064"</definedName>
    <definedName name="FDD_157_13" hidden="1">"A35430"</definedName>
    <definedName name="FDD_157_14" hidden="1">"A35795"</definedName>
    <definedName name="FDD_157_2" hidden="1">"A31412"</definedName>
    <definedName name="FDD_157_3" hidden="1">"A31777"</definedName>
    <definedName name="FDD_157_4" hidden="1">"A32142"</definedName>
    <definedName name="FDD_157_5" hidden="1">"A32508"</definedName>
    <definedName name="FDD_157_6" hidden="1">"A32873"</definedName>
    <definedName name="FDD_157_7" hidden="1">"A33238"</definedName>
    <definedName name="FDD_157_8" hidden="1">"A33603"</definedName>
    <definedName name="FDD_157_9" hidden="1">"A33969"</definedName>
    <definedName name="FDD_158_0" hidden="1">"A30681"</definedName>
    <definedName name="FDD_158_1" hidden="1">"A31047"</definedName>
    <definedName name="FDD_158_10" hidden="1">"A34334"</definedName>
    <definedName name="FDD_158_11" hidden="1">"A34699"</definedName>
    <definedName name="FDD_158_12" hidden="1">"A35064"</definedName>
    <definedName name="FDD_158_13" hidden="1">"A35430"</definedName>
    <definedName name="FDD_158_14" hidden="1">"A35795"</definedName>
    <definedName name="FDD_158_15" hidden="1">"E36160"</definedName>
    <definedName name="FDD_158_2" hidden="1">"A31412"</definedName>
    <definedName name="FDD_158_3" hidden="1">"A31777"</definedName>
    <definedName name="FDD_158_4" hidden="1">"A32142"</definedName>
    <definedName name="FDD_158_5" hidden="1">"A32508"</definedName>
    <definedName name="FDD_158_6" hidden="1">"A32873"</definedName>
    <definedName name="FDD_158_7" hidden="1">"A33238"</definedName>
    <definedName name="FDD_158_8" hidden="1">"A33603"</definedName>
    <definedName name="FDD_158_9" hidden="1">"A33969"</definedName>
    <definedName name="FDD_159_0" hidden="1">"A30681"</definedName>
    <definedName name="FDD_159_1" hidden="1">"A31047"</definedName>
    <definedName name="FDD_159_10" hidden="1">"A34334"</definedName>
    <definedName name="FDD_159_11" hidden="1">"A34699"</definedName>
    <definedName name="FDD_159_12" hidden="1">"A35064"</definedName>
    <definedName name="FDD_159_13" hidden="1">"A35430"</definedName>
    <definedName name="FDD_159_14" hidden="1">"A35795"</definedName>
    <definedName name="FDD_159_2" hidden="1">"A31412"</definedName>
    <definedName name="FDD_159_3" hidden="1">"A31777"</definedName>
    <definedName name="FDD_159_4" hidden="1">"A32142"</definedName>
    <definedName name="FDD_159_5" hidden="1">"A32508"</definedName>
    <definedName name="FDD_159_6" hidden="1">"A32873"</definedName>
    <definedName name="FDD_159_7" hidden="1">"A33238"</definedName>
    <definedName name="FDD_159_8" hidden="1">"A33603"</definedName>
    <definedName name="FDD_159_9" hidden="1">"A33969"</definedName>
    <definedName name="FDD_16_0" hidden="1">"A25569"</definedName>
    <definedName name="FDD_160_0" hidden="1">"A30681"</definedName>
    <definedName name="FDD_160_1" hidden="1">"A31047"</definedName>
    <definedName name="FDD_160_10" hidden="1">"A34334"</definedName>
    <definedName name="FDD_160_11" hidden="1">"A34699"</definedName>
    <definedName name="FDD_160_12" hidden="1">"A35064"</definedName>
    <definedName name="FDD_160_13" hidden="1">"A35430"</definedName>
    <definedName name="FDD_160_14" hidden="1">"A35795"</definedName>
    <definedName name="FDD_160_15" hidden="1">"E36160"</definedName>
    <definedName name="FDD_160_2" hidden="1">"A31412"</definedName>
    <definedName name="FDD_160_3" hidden="1">"A31777"</definedName>
    <definedName name="FDD_160_4" hidden="1">"A32142"</definedName>
    <definedName name="FDD_160_5" hidden="1">"A32508"</definedName>
    <definedName name="FDD_160_6" hidden="1">"A32873"</definedName>
    <definedName name="FDD_160_7" hidden="1">"A33238"</definedName>
    <definedName name="FDD_160_8" hidden="1">"A33603"</definedName>
    <definedName name="FDD_160_9" hidden="1">"A33969"</definedName>
    <definedName name="FDD_161_0" hidden="1">"A30681"</definedName>
    <definedName name="FDD_161_1" hidden="1">"A31047"</definedName>
    <definedName name="FDD_161_10" hidden="1">"A34334"</definedName>
    <definedName name="FDD_161_11" hidden="1">"A34699"</definedName>
    <definedName name="FDD_161_12" hidden="1">"A35064"</definedName>
    <definedName name="FDD_161_13" hidden="1">"A35430"</definedName>
    <definedName name="FDD_161_14" hidden="1">"A35795"</definedName>
    <definedName name="FDD_161_2" hidden="1">"A31412"</definedName>
    <definedName name="FDD_161_3" hidden="1">"A31777"</definedName>
    <definedName name="FDD_161_4" hidden="1">"A32142"</definedName>
    <definedName name="FDD_161_5" hidden="1">"A32508"</definedName>
    <definedName name="FDD_161_6" hidden="1">"A32873"</definedName>
    <definedName name="FDD_161_7" hidden="1">"A33238"</definedName>
    <definedName name="FDD_161_8" hidden="1">"A33603"</definedName>
    <definedName name="FDD_161_9" hidden="1">"A33969"</definedName>
    <definedName name="FDD_162_0" hidden="1">"A30681"</definedName>
    <definedName name="FDD_162_1" hidden="1">"A31047"</definedName>
    <definedName name="FDD_162_10" hidden="1">"A34334"</definedName>
    <definedName name="FDD_162_11" hidden="1">"A34699"</definedName>
    <definedName name="FDD_162_12" hidden="1">"A35064"</definedName>
    <definedName name="FDD_162_13" hidden="1">"A35430"</definedName>
    <definedName name="FDD_162_14" hidden="1">"A35795"</definedName>
    <definedName name="FDD_162_2" hidden="1">"A31412"</definedName>
    <definedName name="FDD_162_3" hidden="1">"A31777"</definedName>
    <definedName name="FDD_162_4" hidden="1">"A32142"</definedName>
    <definedName name="FDD_162_5" hidden="1">"A32508"</definedName>
    <definedName name="FDD_162_6" hidden="1">"A32873"</definedName>
    <definedName name="FDD_162_7" hidden="1">"A33238"</definedName>
    <definedName name="FDD_162_8" hidden="1">"A33603"</definedName>
    <definedName name="FDD_162_9" hidden="1">"A33969"</definedName>
    <definedName name="FDD_163_0" hidden="1">"A30681"</definedName>
    <definedName name="FDD_163_1" hidden="1">"A31047"</definedName>
    <definedName name="FDD_163_10" hidden="1">"A34334"</definedName>
    <definedName name="FDD_163_11" hidden="1">"A34699"</definedName>
    <definedName name="FDD_163_12" hidden="1">"A35064"</definedName>
    <definedName name="FDD_163_13" hidden="1">"A35430"</definedName>
    <definedName name="FDD_163_14" hidden="1">"A35795"</definedName>
    <definedName name="FDD_163_2" hidden="1">"A31412"</definedName>
    <definedName name="FDD_163_3" hidden="1">"A31777"</definedName>
    <definedName name="FDD_163_4" hidden="1">"A32142"</definedName>
    <definedName name="FDD_163_5" hidden="1">"A32508"</definedName>
    <definedName name="FDD_163_6" hidden="1">"A32873"</definedName>
    <definedName name="FDD_163_7" hidden="1">"A33238"</definedName>
    <definedName name="FDD_163_8" hidden="1">"A33603"</definedName>
    <definedName name="FDD_163_9" hidden="1">"A33969"</definedName>
    <definedName name="FDD_164_0" hidden="1">"A25569"</definedName>
    <definedName name="FDD_165_0" hidden="1">"A30681"</definedName>
    <definedName name="FDD_165_1" hidden="1">"A31047"</definedName>
    <definedName name="FDD_165_10" hidden="1">"A34334"</definedName>
    <definedName name="FDD_165_11" hidden="1">"A34699"</definedName>
    <definedName name="FDD_165_12" hidden="1">"A35064"</definedName>
    <definedName name="FDD_165_13" hidden="1">"A35430"</definedName>
    <definedName name="FDD_165_14" hidden="1">"A35795"</definedName>
    <definedName name="FDD_165_2" hidden="1">"A31412"</definedName>
    <definedName name="FDD_165_3" hidden="1">"A31777"</definedName>
    <definedName name="FDD_165_4" hidden="1">"A32142"</definedName>
    <definedName name="FDD_165_5" hidden="1">"A32508"</definedName>
    <definedName name="FDD_165_6" hidden="1">"A32873"</definedName>
    <definedName name="FDD_165_7" hidden="1">"A33238"</definedName>
    <definedName name="FDD_165_8" hidden="1">"A33603"</definedName>
    <definedName name="FDD_165_9" hidden="1">"A33969"</definedName>
    <definedName name="FDD_166_0" hidden="1">"A30681"</definedName>
    <definedName name="FDD_166_1" hidden="1">"A31047"</definedName>
    <definedName name="FDD_166_10" hidden="1">"A34334"</definedName>
    <definedName name="FDD_166_11" hidden="1">"A34699"</definedName>
    <definedName name="FDD_166_12" hidden="1">"A35064"</definedName>
    <definedName name="FDD_166_13" hidden="1">"A35430"</definedName>
    <definedName name="FDD_166_14" hidden="1">"A35795"</definedName>
    <definedName name="FDD_166_2" hidden="1">"A31412"</definedName>
    <definedName name="FDD_166_3" hidden="1">"A31777"</definedName>
    <definedName name="FDD_166_4" hidden="1">"A32142"</definedName>
    <definedName name="FDD_166_5" hidden="1">"A32508"</definedName>
    <definedName name="FDD_166_6" hidden="1">"A32873"</definedName>
    <definedName name="FDD_166_7" hidden="1">"A33238"</definedName>
    <definedName name="FDD_166_8" hidden="1">"A33603"</definedName>
    <definedName name="FDD_166_9" hidden="1">"A33969"</definedName>
    <definedName name="FDD_167_0" hidden="1">"A30681"</definedName>
    <definedName name="FDD_167_1" hidden="1">"A31047"</definedName>
    <definedName name="FDD_167_10" hidden="1">"A34334"</definedName>
    <definedName name="FDD_167_11" hidden="1">"A34699"</definedName>
    <definedName name="FDD_167_12" hidden="1">"A35064"</definedName>
    <definedName name="FDD_167_13" hidden="1">"A35430"</definedName>
    <definedName name="FDD_167_14" hidden="1">"A35795"</definedName>
    <definedName name="FDD_167_2" hidden="1">"A31412"</definedName>
    <definedName name="FDD_167_3" hidden="1">"A31777"</definedName>
    <definedName name="FDD_167_4" hidden="1">"A32142"</definedName>
    <definedName name="FDD_167_5" hidden="1">"A32508"</definedName>
    <definedName name="FDD_167_6" hidden="1">"A32873"</definedName>
    <definedName name="FDD_167_7" hidden="1">"A33238"</definedName>
    <definedName name="FDD_167_8" hidden="1">"A33603"</definedName>
    <definedName name="FDD_167_9" hidden="1">"A33969"</definedName>
    <definedName name="FDD_168_0" hidden="1">"E36160"</definedName>
    <definedName name="FDD_168_1" hidden="1">"E36525"</definedName>
    <definedName name="FDD_168_2" hidden="1">"E36891"</definedName>
    <definedName name="FDD_169_0" hidden="1">"A30681"</definedName>
    <definedName name="FDD_169_1" hidden="1">"A31047"</definedName>
    <definedName name="FDD_169_10" hidden="1">"A34334"</definedName>
    <definedName name="FDD_169_11" hidden="1">"A34699"</definedName>
    <definedName name="FDD_169_12" hidden="1">"A35064"</definedName>
    <definedName name="FDD_169_13" hidden="1">"A35430"</definedName>
    <definedName name="FDD_169_14" hidden="1">"A35795"</definedName>
    <definedName name="FDD_169_2" hidden="1">"A31412"</definedName>
    <definedName name="FDD_169_3" hidden="1">"A31777"</definedName>
    <definedName name="FDD_169_4" hidden="1">"A32142"</definedName>
    <definedName name="FDD_169_5" hidden="1">"A32508"</definedName>
    <definedName name="FDD_169_6" hidden="1">"A32873"</definedName>
    <definedName name="FDD_169_7" hidden="1">"A33238"</definedName>
    <definedName name="FDD_169_8" hidden="1">"A33603"</definedName>
    <definedName name="FDD_169_9" hidden="1">"A33969"</definedName>
    <definedName name="FDD_17_0" hidden="1">"A25569"</definedName>
    <definedName name="FDD_170_0" hidden="1">"A30681"</definedName>
    <definedName name="FDD_170_1" hidden="1">"A31047"</definedName>
    <definedName name="FDD_170_10" hidden="1">"A34334"</definedName>
    <definedName name="FDD_170_11" hidden="1">"A34699"</definedName>
    <definedName name="FDD_170_12" hidden="1">"A35064"</definedName>
    <definedName name="FDD_170_13" hidden="1">"A35430"</definedName>
    <definedName name="FDD_170_14" hidden="1">"A35795"</definedName>
    <definedName name="FDD_170_2" hidden="1">"A31412"</definedName>
    <definedName name="FDD_170_3" hidden="1">"A31777"</definedName>
    <definedName name="FDD_170_4" hidden="1">"A32142"</definedName>
    <definedName name="FDD_170_5" hidden="1">"A32508"</definedName>
    <definedName name="FDD_170_6" hidden="1">"A32873"</definedName>
    <definedName name="FDD_170_7" hidden="1">"A33238"</definedName>
    <definedName name="FDD_170_8" hidden="1">"A33603"</definedName>
    <definedName name="FDD_170_9" hidden="1">"A33969"</definedName>
    <definedName name="FDD_171_0" hidden="1">"A30681"</definedName>
    <definedName name="FDD_171_1" hidden="1">"A31047"</definedName>
    <definedName name="FDD_171_10" hidden="1">"A34334"</definedName>
    <definedName name="FDD_171_11" hidden="1">"A34699"</definedName>
    <definedName name="FDD_171_12" hidden="1">"A35064"</definedName>
    <definedName name="FDD_171_13" hidden="1">"A35430"</definedName>
    <definedName name="FDD_171_14" hidden="1">"A35795"</definedName>
    <definedName name="FDD_171_2" hidden="1">"A31412"</definedName>
    <definedName name="FDD_171_3" hidden="1">"A31777"</definedName>
    <definedName name="FDD_171_4" hidden="1">"A32142"</definedName>
    <definedName name="FDD_171_5" hidden="1">"A32508"</definedName>
    <definedName name="FDD_171_6" hidden="1">"A32873"</definedName>
    <definedName name="FDD_171_7" hidden="1">"A33238"</definedName>
    <definedName name="FDD_171_8" hidden="1">"A33603"</definedName>
    <definedName name="FDD_171_9" hidden="1">"A33969"</definedName>
    <definedName name="FDD_172_0" hidden="1">"A30681"</definedName>
    <definedName name="FDD_172_1" hidden="1">"A31047"</definedName>
    <definedName name="FDD_172_10" hidden="1">"A34334"</definedName>
    <definedName name="FDD_172_11" hidden="1">"A34699"</definedName>
    <definedName name="FDD_172_12" hidden="1">"A35064"</definedName>
    <definedName name="FDD_172_13" hidden="1">"A35430"</definedName>
    <definedName name="FDD_172_14" hidden="1">"A35795"</definedName>
    <definedName name="FDD_172_2" hidden="1">"A31412"</definedName>
    <definedName name="FDD_172_3" hidden="1">"A31777"</definedName>
    <definedName name="FDD_172_4" hidden="1">"A32142"</definedName>
    <definedName name="FDD_172_5" hidden="1">"A32508"</definedName>
    <definedName name="FDD_172_6" hidden="1">"A32873"</definedName>
    <definedName name="FDD_172_7" hidden="1">"A33238"</definedName>
    <definedName name="FDD_172_8" hidden="1">"A33603"</definedName>
    <definedName name="FDD_172_9" hidden="1">"A33969"</definedName>
    <definedName name="FDD_173_0" hidden="1">"A30681"</definedName>
    <definedName name="FDD_173_1" hidden="1">"A31047"</definedName>
    <definedName name="FDD_173_10" hidden="1">"A34334"</definedName>
    <definedName name="FDD_173_11" hidden="1">"A34699"</definedName>
    <definedName name="FDD_173_12" hidden="1">"A35064"</definedName>
    <definedName name="FDD_173_13" hidden="1">"A35430"</definedName>
    <definedName name="FDD_173_14" hidden="1">"A35795"</definedName>
    <definedName name="FDD_173_2" hidden="1">"A31412"</definedName>
    <definedName name="FDD_173_3" hidden="1">"A31777"</definedName>
    <definedName name="FDD_173_4" hidden="1">"A32142"</definedName>
    <definedName name="FDD_173_5" hidden="1">"A32508"</definedName>
    <definedName name="FDD_173_6" hidden="1">"A32873"</definedName>
    <definedName name="FDD_173_7" hidden="1">"A33238"</definedName>
    <definedName name="FDD_173_8" hidden="1">"A33603"</definedName>
    <definedName name="FDD_173_9" hidden="1">"A33969"</definedName>
    <definedName name="FDD_174_0" hidden="1">"A30681"</definedName>
    <definedName name="FDD_174_1" hidden="1">"A31047"</definedName>
    <definedName name="FDD_174_10" hidden="1">"A34334"</definedName>
    <definedName name="FDD_174_11" hidden="1">"A34699"</definedName>
    <definedName name="FDD_174_12" hidden="1">"A35064"</definedName>
    <definedName name="FDD_174_13" hidden="1">"A35430"</definedName>
    <definedName name="FDD_174_14" hidden="1">"A35795"</definedName>
    <definedName name="FDD_174_2" hidden="1">"A31412"</definedName>
    <definedName name="FDD_174_3" hidden="1">"A31777"</definedName>
    <definedName name="FDD_174_4" hidden="1">"A32142"</definedName>
    <definedName name="FDD_174_5" hidden="1">"A32508"</definedName>
    <definedName name="FDD_174_6" hidden="1">"A32873"</definedName>
    <definedName name="FDD_174_7" hidden="1">"A33238"</definedName>
    <definedName name="FDD_174_8" hidden="1">"A33603"</definedName>
    <definedName name="FDD_174_9" hidden="1">"A33969"</definedName>
    <definedName name="FDD_175_0" hidden="1">"E36160"</definedName>
    <definedName name="FDD_175_1" hidden="1">"E36525"</definedName>
    <definedName name="FDD_175_2" hidden="1">"E36891"</definedName>
    <definedName name="FDD_176_0" hidden="1">"E36160"</definedName>
    <definedName name="FDD_176_1" hidden="1">"E36525"</definedName>
    <definedName name="FDD_176_2" hidden="1">"E36891"</definedName>
    <definedName name="FDD_177_0" hidden="1">"E36160"</definedName>
    <definedName name="FDD_177_1" hidden="1">"E36525"</definedName>
    <definedName name="FDD_177_2" hidden="1">"E36891"</definedName>
    <definedName name="FDD_178_0" hidden="1">"E36160"</definedName>
    <definedName name="FDD_178_1" hidden="1">"E36525"</definedName>
    <definedName name="FDD_178_2" hidden="1">"E36891"</definedName>
    <definedName name="FDD_179_0" hidden="1">"E36160"</definedName>
    <definedName name="FDD_179_1" hidden="1">"E36525"</definedName>
    <definedName name="FDD_179_2" hidden="1">"E36891"</definedName>
    <definedName name="FDD_18_0" hidden="1">"A25569"</definedName>
    <definedName name="FDD_180_0" hidden="1">"E36160"</definedName>
    <definedName name="FDD_180_1" hidden="1">"E36525"</definedName>
    <definedName name="FDD_180_2" hidden="1">"E36891"</definedName>
    <definedName name="FDD_181_0" hidden="1">"E36160"</definedName>
    <definedName name="FDD_181_1" hidden="1">"E36525"</definedName>
    <definedName name="FDD_181_2" hidden="1">"E36891"</definedName>
    <definedName name="FDD_182_0" hidden="1">"E36160"</definedName>
    <definedName name="FDD_182_1" hidden="1">"E36525"</definedName>
    <definedName name="FDD_182_2" hidden="1">"E36891"</definedName>
    <definedName name="FDD_183_0" hidden="1">"E36160"</definedName>
    <definedName name="FDD_183_1" hidden="1">"E36525"</definedName>
    <definedName name="FDD_183_2" hidden="1">"E36891"</definedName>
    <definedName name="FDD_184_0" hidden="1">"E36160"</definedName>
    <definedName name="FDD_184_1" hidden="1">"E36525"</definedName>
    <definedName name="FDD_184_2" hidden="1">"E36891"</definedName>
    <definedName name="FDD_185_0" hidden="1">"E36160"</definedName>
    <definedName name="FDD_185_1" hidden="1">"E36525"</definedName>
    <definedName name="FDD_185_2" hidden="1">"E36891"</definedName>
    <definedName name="FDD_186_0" hidden="1">"E36160"</definedName>
    <definedName name="FDD_186_1" hidden="1">"E36525"</definedName>
    <definedName name="FDD_186_2" hidden="1">"E36891"</definedName>
    <definedName name="FDD_187_0" hidden="1">"E36160"</definedName>
    <definedName name="FDD_187_1" hidden="1">"E36525"</definedName>
    <definedName name="FDD_187_2" hidden="1">"E36891"</definedName>
    <definedName name="FDD_188_0" hidden="1">"A30681"</definedName>
    <definedName name="FDD_188_1" hidden="1">"A31047"</definedName>
    <definedName name="FDD_188_10" hidden="1">"A34334"</definedName>
    <definedName name="FDD_188_11" hidden="1">"A34699"</definedName>
    <definedName name="FDD_188_12" hidden="1">"A35064"</definedName>
    <definedName name="FDD_188_13" hidden="1">"A35430"</definedName>
    <definedName name="FDD_188_14" hidden="1">"A35795"</definedName>
    <definedName name="FDD_188_2" hidden="1">"A31412"</definedName>
    <definedName name="FDD_188_3" hidden="1">"A31777"</definedName>
    <definedName name="FDD_188_4" hidden="1">"A32142"</definedName>
    <definedName name="FDD_188_5" hidden="1">"A32508"</definedName>
    <definedName name="FDD_188_6" hidden="1">"A32873"</definedName>
    <definedName name="FDD_188_7" hidden="1">"A33238"</definedName>
    <definedName name="FDD_188_8" hidden="1">"A33603"</definedName>
    <definedName name="FDD_188_9" hidden="1">"A33969"</definedName>
    <definedName name="FDD_189_0" hidden="1">"A30681"</definedName>
    <definedName name="FDD_189_1" hidden="1">"A31047"</definedName>
    <definedName name="FDD_189_10" hidden="1">"A34334"</definedName>
    <definedName name="FDD_189_11" hidden="1">"A34699"</definedName>
    <definedName name="FDD_189_12" hidden="1">"A35064"</definedName>
    <definedName name="FDD_189_13" hidden="1">"A35430"</definedName>
    <definedName name="FDD_189_14" hidden="1">"A35795"</definedName>
    <definedName name="FDD_189_2" hidden="1">"A31412"</definedName>
    <definedName name="FDD_189_3" hidden="1">"A31777"</definedName>
    <definedName name="FDD_189_4" hidden="1">"A32142"</definedName>
    <definedName name="FDD_189_5" hidden="1">"A32508"</definedName>
    <definedName name="FDD_189_6" hidden="1">"A32873"</definedName>
    <definedName name="FDD_189_7" hidden="1">"A33238"</definedName>
    <definedName name="FDD_189_8" hidden="1">"A33603"</definedName>
    <definedName name="FDD_189_9" hidden="1">"A33969"</definedName>
    <definedName name="FDD_19_0" hidden="1">"A25569"</definedName>
    <definedName name="FDD_190_0" hidden="1">"A30681"</definedName>
    <definedName name="FDD_190_1" hidden="1">"A31047"</definedName>
    <definedName name="FDD_190_10" hidden="1">"A34334"</definedName>
    <definedName name="FDD_190_11" hidden="1">"A34699"</definedName>
    <definedName name="FDD_190_12" hidden="1">"A35064"</definedName>
    <definedName name="FDD_190_13" hidden="1">"A35430"</definedName>
    <definedName name="FDD_190_14" hidden="1">"A35795"</definedName>
    <definedName name="FDD_190_2" hidden="1">"A31412"</definedName>
    <definedName name="FDD_190_3" hidden="1">"A31777"</definedName>
    <definedName name="FDD_190_4" hidden="1">"A32142"</definedName>
    <definedName name="FDD_190_5" hidden="1">"A32508"</definedName>
    <definedName name="FDD_190_6" hidden="1">"A32873"</definedName>
    <definedName name="FDD_190_7" hidden="1">"A33238"</definedName>
    <definedName name="FDD_190_8" hidden="1">"A33603"</definedName>
    <definedName name="FDD_190_9" hidden="1">"A33969"</definedName>
    <definedName name="FDD_191_0" hidden="1">"A30681"</definedName>
    <definedName name="FDD_191_1" hidden="1">"A31047"</definedName>
    <definedName name="FDD_191_10" hidden="1">"A34334"</definedName>
    <definedName name="FDD_191_11" hidden="1">"A34699"</definedName>
    <definedName name="FDD_191_12" hidden="1">"A35064"</definedName>
    <definedName name="FDD_191_13" hidden="1">"A35430"</definedName>
    <definedName name="FDD_191_14" hidden="1">"A35795"</definedName>
    <definedName name="FDD_191_2" hidden="1">"A31412"</definedName>
    <definedName name="FDD_191_3" hidden="1">"A31777"</definedName>
    <definedName name="FDD_191_4" hidden="1">"A32142"</definedName>
    <definedName name="FDD_191_5" hidden="1">"A32508"</definedName>
    <definedName name="FDD_191_6" hidden="1">"A32873"</definedName>
    <definedName name="FDD_191_7" hidden="1">"A33238"</definedName>
    <definedName name="FDD_191_8" hidden="1">"A33603"</definedName>
    <definedName name="FDD_191_9" hidden="1">"A33969"</definedName>
    <definedName name="FDD_192_0" hidden="1">"E36160"</definedName>
    <definedName name="FDD_192_1" hidden="1">"E36525"</definedName>
    <definedName name="FDD_192_2" hidden="1">"E36891"</definedName>
    <definedName name="FDD_193_0" hidden="1">"A30681"</definedName>
    <definedName name="FDD_193_1" hidden="1">"A31047"</definedName>
    <definedName name="FDD_193_10" hidden="1">"A34334"</definedName>
    <definedName name="FDD_193_11" hidden="1">"A34699"</definedName>
    <definedName name="FDD_193_12" hidden="1">"A35064"</definedName>
    <definedName name="FDD_193_13" hidden="1">"A35430"</definedName>
    <definedName name="FDD_193_14" hidden="1">"A35795"</definedName>
    <definedName name="FDD_193_2" hidden="1">"A31412"</definedName>
    <definedName name="FDD_193_3" hidden="1">"A31777"</definedName>
    <definedName name="FDD_193_4" hidden="1">"A32142"</definedName>
    <definedName name="FDD_193_5" hidden="1">"A32508"</definedName>
    <definedName name="FDD_193_6" hidden="1">"A32873"</definedName>
    <definedName name="FDD_193_7" hidden="1">"A33238"</definedName>
    <definedName name="FDD_193_8" hidden="1">"A33603"</definedName>
    <definedName name="FDD_193_9" hidden="1">"A33969"</definedName>
    <definedName name="FDD_194_0" hidden="1">"A30681"</definedName>
    <definedName name="FDD_194_1" hidden="1">"A31047"</definedName>
    <definedName name="FDD_194_10" hidden="1">"A34334"</definedName>
    <definedName name="FDD_194_11" hidden="1">"A34699"</definedName>
    <definedName name="FDD_194_12" hidden="1">"A35064"</definedName>
    <definedName name="FDD_194_13" hidden="1">"A35430"</definedName>
    <definedName name="FDD_194_14" hidden="1">"A35795"</definedName>
    <definedName name="FDD_194_2" hidden="1">"A31412"</definedName>
    <definedName name="FDD_194_3" hidden="1">"A31777"</definedName>
    <definedName name="FDD_194_4" hidden="1">"A32142"</definedName>
    <definedName name="FDD_194_5" hidden="1">"A32508"</definedName>
    <definedName name="FDD_194_6" hidden="1">"A32873"</definedName>
    <definedName name="FDD_194_7" hidden="1">"A33238"</definedName>
    <definedName name="FDD_194_8" hidden="1">"A33603"</definedName>
    <definedName name="FDD_194_9" hidden="1">"A33969"</definedName>
    <definedName name="FDD_195_0" hidden="1">"A30681"</definedName>
    <definedName name="FDD_195_1" hidden="1">"A31047"</definedName>
    <definedName name="FDD_195_10" hidden="1">"A34334"</definedName>
    <definedName name="FDD_195_11" hidden="1">"A34699"</definedName>
    <definedName name="FDD_195_12" hidden="1">"A35064"</definedName>
    <definedName name="FDD_195_13" hidden="1">"A35430"</definedName>
    <definedName name="FDD_195_14" hidden="1">"A35795"</definedName>
    <definedName name="FDD_195_2" hidden="1">"A31412"</definedName>
    <definedName name="FDD_195_3" hidden="1">"A31777"</definedName>
    <definedName name="FDD_195_4" hidden="1">"A32142"</definedName>
    <definedName name="FDD_195_5" hidden="1">"A32508"</definedName>
    <definedName name="FDD_195_6" hidden="1">"A32873"</definedName>
    <definedName name="FDD_195_7" hidden="1">"A33238"</definedName>
    <definedName name="FDD_195_8" hidden="1">"A33603"</definedName>
    <definedName name="FDD_195_9" hidden="1">"A33969"</definedName>
    <definedName name="FDD_196_0" hidden="1">"E36160"</definedName>
    <definedName name="FDD_196_1" hidden="1">"E36525"</definedName>
    <definedName name="FDD_196_2" hidden="1">"E36891"</definedName>
    <definedName name="FDD_197_0" hidden="1">"A30681"</definedName>
    <definedName name="FDD_197_1" hidden="1">"A31047"</definedName>
    <definedName name="FDD_197_10" hidden="1">"A34334"</definedName>
    <definedName name="FDD_197_11" hidden="1">"A34699"</definedName>
    <definedName name="FDD_197_12" hidden="1">"A35064"</definedName>
    <definedName name="FDD_197_13" hidden="1">"A35430"</definedName>
    <definedName name="FDD_197_14" hidden="1">"A35795"</definedName>
    <definedName name="FDD_197_2" hidden="1">"A31412"</definedName>
    <definedName name="FDD_197_3" hidden="1">"A31777"</definedName>
    <definedName name="FDD_197_4" hidden="1">"A32142"</definedName>
    <definedName name="FDD_197_5" hidden="1">"A32508"</definedName>
    <definedName name="FDD_197_6" hidden="1">"A32873"</definedName>
    <definedName name="FDD_197_7" hidden="1">"A33238"</definedName>
    <definedName name="FDD_197_8" hidden="1">"A33603"</definedName>
    <definedName name="FDD_197_9" hidden="1">"A33969"</definedName>
    <definedName name="FDD_198_0" hidden="1">"A30681"</definedName>
    <definedName name="FDD_198_1" hidden="1">"A31047"</definedName>
    <definedName name="FDD_198_10" hidden="1">"U34334"</definedName>
    <definedName name="FDD_198_11" hidden="1">"U34699"</definedName>
    <definedName name="FDD_198_12" hidden="1">"U35064"</definedName>
    <definedName name="FDD_198_13" hidden="1">"U35430"</definedName>
    <definedName name="FDD_198_14" hidden="1">"U35795"</definedName>
    <definedName name="FDD_198_2" hidden="1">"A31412"</definedName>
    <definedName name="FDD_198_3" hidden="1">"U31777"</definedName>
    <definedName name="FDD_198_4" hidden="1">"U32142"</definedName>
    <definedName name="FDD_198_5" hidden="1">"U32508"</definedName>
    <definedName name="FDD_198_6" hidden="1">"U32873"</definedName>
    <definedName name="FDD_198_7" hidden="1">"U33238"</definedName>
    <definedName name="FDD_198_8" hidden="1">"U33603"</definedName>
    <definedName name="FDD_198_9" hidden="1">"U33969"</definedName>
    <definedName name="FDD_199_0" hidden="1">"E36160"</definedName>
    <definedName name="FDD_199_1" hidden="1">"E36525"</definedName>
    <definedName name="FDD_199_2" hidden="1">"E36891"</definedName>
    <definedName name="FDD_2_0" hidden="1">"A25569"</definedName>
    <definedName name="FDD_20_0" hidden="1">"A25569"</definedName>
    <definedName name="FDD_200_0" hidden="1">"E36160"</definedName>
    <definedName name="FDD_200_1" hidden="1">"E36525"</definedName>
    <definedName name="FDD_200_2" hidden="1">"E36891"</definedName>
    <definedName name="FDD_201_0" hidden="1">"A30681"</definedName>
    <definedName name="FDD_201_1" hidden="1">"A31047"</definedName>
    <definedName name="FDD_201_10" hidden="1">"A34334"</definedName>
    <definedName name="FDD_201_11" hidden="1">"A34699"</definedName>
    <definedName name="FDD_201_12" hidden="1">"A35064"</definedName>
    <definedName name="FDD_201_13" hidden="1">"A35430"</definedName>
    <definedName name="FDD_201_14" hidden="1">"A35795"</definedName>
    <definedName name="FDD_201_2" hidden="1">"A31412"</definedName>
    <definedName name="FDD_201_3" hidden="1">"A31777"</definedName>
    <definedName name="FDD_201_4" hidden="1">"A32142"</definedName>
    <definedName name="FDD_201_5" hidden="1">"A32508"</definedName>
    <definedName name="FDD_201_6" hidden="1">"A32873"</definedName>
    <definedName name="FDD_201_7" hidden="1">"A33238"</definedName>
    <definedName name="FDD_201_8" hidden="1">"A33603"</definedName>
    <definedName name="FDD_201_9" hidden="1">"A33969"</definedName>
    <definedName name="FDD_202_0" hidden="1">"A30681"</definedName>
    <definedName name="FDD_202_1" hidden="1">"A31047"</definedName>
    <definedName name="FDD_202_10" hidden="1">"A34334"</definedName>
    <definedName name="FDD_202_11" hidden="1">"A34699"</definedName>
    <definedName name="FDD_202_12" hidden="1">"A35064"</definedName>
    <definedName name="FDD_202_13" hidden="1">"A35430"</definedName>
    <definedName name="FDD_202_14" hidden="1">"A35795"</definedName>
    <definedName name="FDD_202_2" hidden="1">"A31412"</definedName>
    <definedName name="FDD_202_3" hidden="1">"A31777"</definedName>
    <definedName name="FDD_202_4" hidden="1">"A32142"</definedName>
    <definedName name="FDD_202_5" hidden="1">"A32508"</definedName>
    <definedName name="FDD_202_6" hidden="1">"A32873"</definedName>
    <definedName name="FDD_202_7" hidden="1">"A33238"</definedName>
    <definedName name="FDD_202_8" hidden="1">"A33603"</definedName>
    <definedName name="FDD_202_9" hidden="1">"A33969"</definedName>
    <definedName name="FDD_203_0" hidden="1">"E36160"</definedName>
    <definedName name="FDD_203_1" hidden="1">"E36525"</definedName>
    <definedName name="FDD_203_2" hidden="1">"E36891"</definedName>
    <definedName name="FDD_204_0" hidden="1">"A25569"</definedName>
    <definedName name="FDD_205_0" hidden="1">"A25569"</definedName>
    <definedName name="FDD_206_0" hidden="1">"A25569"</definedName>
    <definedName name="FDD_207_0" hidden="1">"A25569"</definedName>
    <definedName name="FDD_208_0" hidden="1">"E36160"</definedName>
    <definedName name="FDD_208_1" hidden="1">"E36525"</definedName>
    <definedName name="FDD_208_2" hidden="1">"E36891"</definedName>
    <definedName name="FDD_209_0" hidden="1">"A25569"</definedName>
    <definedName name="FDD_21_0" hidden="1">"A25569"</definedName>
    <definedName name="FDD_210_0" hidden="1">"A25569"</definedName>
    <definedName name="FDD_211_0" hidden="1">"A25569"</definedName>
    <definedName name="FDD_212_0" hidden="1">"A25569"</definedName>
    <definedName name="FDD_213_0" hidden="1">"E36160"</definedName>
    <definedName name="FDD_213_1" hidden="1">"E36525"</definedName>
    <definedName name="FDD_213_2" hidden="1">"E36891"</definedName>
    <definedName name="FDD_214_0" hidden="1">"A25569"</definedName>
    <definedName name="FDD_215_0" hidden="1">"A25569"</definedName>
    <definedName name="FDD_216_0" hidden="1">"A25569"</definedName>
    <definedName name="FDD_217_0" hidden="1">"A25569"</definedName>
    <definedName name="FDD_218_0" hidden="1">"E36160"</definedName>
    <definedName name="FDD_218_1" hidden="1">"E36525"</definedName>
    <definedName name="FDD_218_2" hidden="1">"E36891"</definedName>
    <definedName name="FDD_219_0" hidden="1">"U25569"</definedName>
    <definedName name="FDD_22_0" hidden="1">"A25569"</definedName>
    <definedName name="FDD_220_0" hidden="1">"U25569"</definedName>
    <definedName name="FDD_221_0" hidden="1">"U25569"</definedName>
    <definedName name="FDD_222_0" hidden="1">"U25569"</definedName>
    <definedName name="FDD_223_0" hidden="1">"E36160"</definedName>
    <definedName name="FDD_223_1" hidden="1">"E36525"</definedName>
    <definedName name="FDD_223_2" hidden="1">"E36891"</definedName>
    <definedName name="FDD_224_0" hidden="1">"A25569"</definedName>
    <definedName name="FDD_225_0" hidden="1">"A25569"</definedName>
    <definedName name="FDD_226_0" hidden="1">"A25569"</definedName>
    <definedName name="FDD_227_0" hidden="1">"A25569"</definedName>
    <definedName name="FDD_228_0" hidden="1">"E36160"</definedName>
    <definedName name="FDD_228_1" hidden="1">"E36525"</definedName>
    <definedName name="FDD_228_2" hidden="1">"E36891"</definedName>
    <definedName name="FDD_229_0" hidden="1">"A25569"</definedName>
    <definedName name="FDD_23_0" hidden="1">"A25569"</definedName>
    <definedName name="FDD_230_0" hidden="1">"A25569"</definedName>
    <definedName name="FDD_231_0" hidden="1">"A25569"</definedName>
    <definedName name="FDD_232_0" hidden="1">"A25569"</definedName>
    <definedName name="FDD_233_0" hidden="1">"A25569"</definedName>
    <definedName name="FDD_234_0" hidden="1">"A25569"</definedName>
    <definedName name="FDD_235_0" hidden="1">"A25569"</definedName>
    <definedName name="FDD_236_0" hidden="1">"A25569"</definedName>
    <definedName name="FDD_237_0" hidden="1">"A25569"</definedName>
    <definedName name="FDD_238_0" hidden="1">"A30681"</definedName>
    <definedName name="FDD_238_1" hidden="1">"A31047"</definedName>
    <definedName name="FDD_238_10" hidden="1">"A34334"</definedName>
    <definedName name="FDD_238_11" hidden="1">"A34699"</definedName>
    <definedName name="FDD_238_12" hidden="1">"A35064"</definedName>
    <definedName name="FDD_238_13" hidden="1">"A35430"</definedName>
    <definedName name="FDD_238_14" hidden="1">"A35795"</definedName>
    <definedName name="FDD_238_2" hidden="1">"A31412"</definedName>
    <definedName name="FDD_238_3" hidden="1">"A31777"</definedName>
    <definedName name="FDD_238_4" hidden="1">"A32142"</definedName>
    <definedName name="FDD_238_5" hidden="1">"A32508"</definedName>
    <definedName name="FDD_238_6" hidden="1">"A32873"</definedName>
    <definedName name="FDD_238_7" hidden="1">"A33238"</definedName>
    <definedName name="FDD_238_8" hidden="1">"A33603"</definedName>
    <definedName name="FDD_238_9" hidden="1">"A33969"</definedName>
    <definedName name="FDD_24_0" hidden="1">"A25569"</definedName>
    <definedName name="FDD_243_0" hidden="1">"E36160"</definedName>
    <definedName name="FDD_243_1" hidden="1">"E36525"</definedName>
    <definedName name="FDD_243_2" hidden="1">"E36891"</definedName>
    <definedName name="FDD_244_0" hidden="1">"A25569"</definedName>
    <definedName name="FDD_245_0" hidden="1">"A25569"</definedName>
    <definedName name="FDD_246_0" hidden="1">"A25569"</definedName>
    <definedName name="FDD_247_0" hidden="1">"A25569"</definedName>
    <definedName name="FDD_248_0" hidden="1">"E36160"</definedName>
    <definedName name="FDD_248_1" hidden="1">"E36525"</definedName>
    <definedName name="FDD_248_2" hidden="1">"E36891"</definedName>
    <definedName name="FDD_249_0" hidden="1">"A25569"</definedName>
    <definedName name="FDD_25_0" hidden="1">"A25569"</definedName>
    <definedName name="FDD_250_0" hidden="1">"A25569"</definedName>
    <definedName name="FDD_251_0" hidden="1">"A25569"</definedName>
    <definedName name="FDD_252_0" hidden="1">"A25569"</definedName>
    <definedName name="FDD_253_0" hidden="1">"E36160"</definedName>
    <definedName name="FDD_253_1" hidden="1">"E36525"</definedName>
    <definedName name="FDD_253_2" hidden="1">"E36891"</definedName>
    <definedName name="FDD_254_0" hidden="1">"E36160"</definedName>
    <definedName name="FDD_254_1" hidden="1">"E36525"</definedName>
    <definedName name="FDD_254_2" hidden="1">"E36891"</definedName>
    <definedName name="FDD_255_0" hidden="1">"E36160"</definedName>
    <definedName name="FDD_255_1" hidden="1">"E36525"</definedName>
    <definedName name="FDD_255_2" hidden="1">"E36891"</definedName>
    <definedName name="FDD_256_0" hidden="1">"U36160"</definedName>
    <definedName name="FDD_256_1" hidden="1">"U36525"</definedName>
    <definedName name="FDD_256_2" hidden="1">"U36891"</definedName>
    <definedName name="FDD_257_0" hidden="1">"E36160"</definedName>
    <definedName name="FDD_257_1" hidden="1">"E36525"</definedName>
    <definedName name="FDD_257_2" hidden="1">"E36891"</definedName>
    <definedName name="FDD_258_0" hidden="1">"E36160"</definedName>
    <definedName name="FDD_258_1" hidden="1">"E36525"</definedName>
    <definedName name="FDD_258_2" hidden="1">"E36891"</definedName>
    <definedName name="FDD_259_0" hidden="1">"E36160"</definedName>
    <definedName name="FDD_259_1" hidden="1">"E36525"</definedName>
    <definedName name="FDD_259_2" hidden="1">"E36891"</definedName>
    <definedName name="FDD_26_0" hidden="1">"A25569"</definedName>
    <definedName name="FDD_260_0" hidden="1">"E36160"</definedName>
    <definedName name="FDD_260_1" hidden="1">"E36525"</definedName>
    <definedName name="FDD_260_2" hidden="1">"E36891"</definedName>
    <definedName name="FDD_261_0" hidden="1">"E36160"</definedName>
    <definedName name="FDD_261_1" hidden="1">"E36525"</definedName>
    <definedName name="FDD_261_2" hidden="1">"E36891"</definedName>
    <definedName name="FDD_264_0" hidden="1">"E36160"</definedName>
    <definedName name="FDD_264_1" hidden="1">"E36525"</definedName>
    <definedName name="FDD_264_2" hidden="1">"E36891"</definedName>
    <definedName name="FDD_265_0" hidden="1">"A25569"</definedName>
    <definedName name="FDD_266_0" hidden="1">"A25569"</definedName>
    <definedName name="FDD_267_0" hidden="1">"A25569"</definedName>
    <definedName name="FDD_268_0" hidden="1">"A25569"</definedName>
    <definedName name="FDD_269_0" hidden="1">"E36160"</definedName>
    <definedName name="FDD_269_1" hidden="1">"E36525"</definedName>
    <definedName name="FDD_269_2" hidden="1">"E36891"</definedName>
    <definedName name="FDD_27_0" hidden="1">"A25569"</definedName>
    <definedName name="FDD_270_0" hidden="1">"A25569"</definedName>
    <definedName name="FDD_271_0" hidden="1">"A25569"</definedName>
    <definedName name="FDD_272_0" hidden="1">"A25569"</definedName>
    <definedName name="FDD_273_0" hidden="1">"A25569"</definedName>
    <definedName name="FDD_274_0" hidden="1">"E36160"</definedName>
    <definedName name="FDD_274_1" hidden="1">"E36525"</definedName>
    <definedName name="FDD_274_2" hidden="1">"E36891"</definedName>
    <definedName name="FDD_275_0" hidden="1">"A25569"</definedName>
    <definedName name="FDD_276_0" hidden="1">"A25569"</definedName>
    <definedName name="FDD_277_0" hidden="1">"A25569"</definedName>
    <definedName name="FDD_278_0" hidden="1">"A25569"</definedName>
    <definedName name="FDD_279_0" hidden="1">"E36160"</definedName>
    <definedName name="FDD_279_1" hidden="1">"E36525"</definedName>
    <definedName name="FDD_279_2" hidden="1">"E36891"</definedName>
    <definedName name="FDD_28_0" hidden="1">"A25569"</definedName>
    <definedName name="FDD_280_0" hidden="1">"E36160"</definedName>
    <definedName name="FDD_280_1" hidden="1">"E36525"</definedName>
    <definedName name="FDD_280_2" hidden="1">"E36891"</definedName>
    <definedName name="FDD_281_0" hidden="1">"E36160"</definedName>
    <definedName name="FDD_281_1" hidden="1">"E36525"</definedName>
    <definedName name="FDD_281_2" hidden="1">"E36891"</definedName>
    <definedName name="FDD_282_0" hidden="1">"E36160"</definedName>
    <definedName name="FDD_282_1" hidden="1">"E36525"</definedName>
    <definedName name="FDD_282_2" hidden="1">"E36891"</definedName>
    <definedName name="FDD_283_0" hidden="1">"E36160"</definedName>
    <definedName name="FDD_283_1" hidden="1">"E36525"</definedName>
    <definedName name="FDD_283_2" hidden="1">"E36891"</definedName>
    <definedName name="FDD_284_0" hidden="1">"A30681"</definedName>
    <definedName name="FDD_284_1" hidden="1">"A31047"</definedName>
    <definedName name="FDD_284_10" hidden="1">"A34334"</definedName>
    <definedName name="FDD_284_11" hidden="1">"A34699"</definedName>
    <definedName name="FDD_284_12" hidden="1">"A35064"</definedName>
    <definedName name="FDD_284_13" hidden="1">"A35430"</definedName>
    <definedName name="FDD_284_14" hidden="1">"A35795"</definedName>
    <definedName name="FDD_284_2" hidden="1">"A31412"</definedName>
    <definedName name="FDD_284_3" hidden="1">"A31777"</definedName>
    <definedName name="FDD_284_4" hidden="1">"A32142"</definedName>
    <definedName name="FDD_284_5" hidden="1">"A32508"</definedName>
    <definedName name="FDD_284_6" hidden="1">"A32873"</definedName>
    <definedName name="FDD_284_7" hidden="1">"A33238"</definedName>
    <definedName name="FDD_284_8" hidden="1">"A33603"</definedName>
    <definedName name="FDD_284_9" hidden="1">"A33969"</definedName>
    <definedName name="FDD_285_0" hidden="1">"A35795"</definedName>
    <definedName name="FDD_285_1" hidden="1">"E36160"</definedName>
    <definedName name="FDD_285_10" hidden="1">"E39447"</definedName>
    <definedName name="FDD_285_11" hidden="1">"E39813"</definedName>
    <definedName name="FDD_285_12" hidden="1">"E40178"</definedName>
    <definedName name="FDD_285_13" hidden="1">"E40543"</definedName>
    <definedName name="FDD_285_14" hidden="1">"E40908"</definedName>
    <definedName name="FDD_285_15" hidden="1">"E41274"</definedName>
    <definedName name="FDD_285_16" hidden="1">"E41639"</definedName>
    <definedName name="FDD_285_17" hidden="1">"E42004"</definedName>
    <definedName name="FDD_285_18" hidden="1">"E42369"</definedName>
    <definedName name="FDD_285_19" hidden="1">"E42735"</definedName>
    <definedName name="FDD_285_2" hidden="1">"E36525"</definedName>
    <definedName name="FDD_285_20" hidden="1">"E43100"</definedName>
    <definedName name="FDD_285_21" hidden="1">"E43465"</definedName>
    <definedName name="FDD_285_22" hidden="1">"E43830"</definedName>
    <definedName name="FDD_285_23" hidden="1">"E44196"</definedName>
    <definedName name="FDD_285_24" hidden="1">"E44561"</definedName>
    <definedName name="FDD_285_25" hidden="1">"E44926"</definedName>
    <definedName name="FDD_285_3" hidden="1">"E36891"</definedName>
    <definedName name="FDD_285_4" hidden="1">"E37256"</definedName>
    <definedName name="FDD_285_5" hidden="1">"E37621"</definedName>
    <definedName name="FDD_285_6" hidden="1">"E37986"</definedName>
    <definedName name="FDD_285_7" hidden="1">"E38352"</definedName>
    <definedName name="FDD_285_8" hidden="1">"E38717"</definedName>
    <definedName name="FDD_285_9" hidden="1">"E39082"</definedName>
    <definedName name="FDD_286_0" hidden="1">"E36160"</definedName>
    <definedName name="FDD_286_1" hidden="1">"E36525"</definedName>
    <definedName name="FDD_286_10" hidden="1">"E39813"</definedName>
    <definedName name="FDD_286_11" hidden="1">"E40178"</definedName>
    <definedName name="FDD_286_12" hidden="1">"E40543"</definedName>
    <definedName name="FDD_286_13" hidden="1">"E40908"</definedName>
    <definedName name="FDD_286_14" hidden="1">"E41274"</definedName>
    <definedName name="FDD_286_15" hidden="1">"E41639"</definedName>
    <definedName name="FDD_286_16" hidden="1">"E42004"</definedName>
    <definedName name="FDD_286_17" hidden="1">"E42369"</definedName>
    <definedName name="FDD_286_18" hidden="1">"E42735"</definedName>
    <definedName name="FDD_286_19" hidden="1">"E43100"</definedName>
    <definedName name="FDD_286_2" hidden="1">"E36891"</definedName>
    <definedName name="FDD_286_20" hidden="1">"E43465"</definedName>
    <definedName name="FDD_286_21" hidden="1">"E43830"</definedName>
    <definedName name="FDD_286_22" hidden="1">"E44196"</definedName>
    <definedName name="FDD_286_23" hidden="1">"E44561"</definedName>
    <definedName name="FDD_286_24" hidden="1">"E44926"</definedName>
    <definedName name="FDD_286_3" hidden="1">"E37256"</definedName>
    <definedName name="FDD_286_4" hidden="1">"E37621"</definedName>
    <definedName name="FDD_286_5" hidden="1">"E37986"</definedName>
    <definedName name="FDD_286_6" hidden="1">"E38352"</definedName>
    <definedName name="FDD_286_7" hidden="1">"E38717"</definedName>
    <definedName name="FDD_286_8" hidden="1">"E39082"</definedName>
    <definedName name="FDD_286_9" hidden="1">"E39447"</definedName>
    <definedName name="FDD_287_0" hidden="1">"A25569"</definedName>
    <definedName name="FDD_288_0" hidden="1">"A25569"</definedName>
    <definedName name="FDD_289_0" hidden="1">"A36890"</definedName>
    <definedName name="FDD_29_0" hidden="1">"A25569"</definedName>
    <definedName name="FDD_290_0" hidden="1">"A36890"</definedName>
    <definedName name="FDD_291_0" hidden="1">"A25569"</definedName>
    <definedName name="FDD_295_0" hidden="1">"U25569"</definedName>
    <definedName name="FDD_296_0" hidden="1">"A25569"</definedName>
    <definedName name="FDD_297_0" hidden="1">"A25569"</definedName>
    <definedName name="FDD_298_0" hidden="1">"A25569"</definedName>
    <definedName name="FDD_299_0" hidden="1">"A25569"</definedName>
    <definedName name="FDD_3_0" hidden="1">"A25569"</definedName>
    <definedName name="FDD_30_0" hidden="1">"A25569"</definedName>
    <definedName name="FDD_300_0" hidden="1">"U25569"</definedName>
    <definedName name="FDD_301_0" hidden="1">"U35795"</definedName>
    <definedName name="FDD_301_1" hidden="1">"U36160"</definedName>
    <definedName name="FDD_301_2" hidden="1">"U36525"</definedName>
    <definedName name="FDD_302_0" hidden="1">"U35795"</definedName>
    <definedName name="FDD_302_1" hidden="1">"U36160"</definedName>
    <definedName name="FDD_302_2" hidden="1">"U36525"</definedName>
    <definedName name="FDD_303_0" hidden="1">"U35795"</definedName>
    <definedName name="FDD_303_1" hidden="1">"U36160"</definedName>
    <definedName name="FDD_303_2" hidden="1">"U36525"</definedName>
    <definedName name="FDD_304_0" hidden="1">"U35795"</definedName>
    <definedName name="FDD_304_1" hidden="1">"U36160"</definedName>
    <definedName name="FDD_304_2" hidden="1">"U36525"</definedName>
    <definedName name="FDD_305_0" hidden="1">"A30681"</definedName>
    <definedName name="FDD_305_1" hidden="1">"A31047"</definedName>
    <definedName name="FDD_305_10" hidden="1">"U34334"</definedName>
    <definedName name="FDD_305_11" hidden="1">"U34699"</definedName>
    <definedName name="FDD_305_12" hidden="1">"U35064"</definedName>
    <definedName name="FDD_305_13" hidden="1">"U35430"</definedName>
    <definedName name="FDD_305_14" hidden="1">"U35795"</definedName>
    <definedName name="FDD_305_2" hidden="1">"A31412"</definedName>
    <definedName name="FDD_305_3" hidden="1">"U31777"</definedName>
    <definedName name="FDD_305_4" hidden="1">"U32142"</definedName>
    <definedName name="FDD_305_5" hidden="1">"U32508"</definedName>
    <definedName name="FDD_305_6" hidden="1">"U32873"</definedName>
    <definedName name="FDD_305_7" hidden="1">"U33238"</definedName>
    <definedName name="FDD_305_8" hidden="1">"U33603"</definedName>
    <definedName name="FDD_305_9" hidden="1">"U33969"</definedName>
    <definedName name="FDD_306_0" hidden="1">"U35795"</definedName>
    <definedName name="FDD_306_1" hidden="1">"E36160"</definedName>
    <definedName name="FDD_306_2" hidden="1">"U36525"</definedName>
    <definedName name="FDD_307_0" hidden="1">"A35795"</definedName>
    <definedName name="FDD_307_1" hidden="1">"U36160"</definedName>
    <definedName name="FDD_307_2" hidden="1">"U36525"</definedName>
    <definedName name="FDD_31_0" hidden="1">"A25569"</definedName>
    <definedName name="FDD_32_0" hidden="1">"A25569"</definedName>
    <definedName name="FDD_33_0" hidden="1">"A25569"</definedName>
    <definedName name="FDD_34_0" hidden="1">"A25569"</definedName>
    <definedName name="FDD_35_0" hidden="1">"A25569"</definedName>
    <definedName name="FDD_36_0" hidden="1">"A25569"</definedName>
    <definedName name="FDD_37_0" hidden="1">"A25569"</definedName>
    <definedName name="FDD_38_0" hidden="1">"A25569"</definedName>
    <definedName name="FDD_39_0" hidden="1">"A25569"</definedName>
    <definedName name="FDD_4_0" hidden="1">"A25569"</definedName>
    <definedName name="FDD_40_0" hidden="1">"A25569"</definedName>
    <definedName name="FDD_41_0" hidden="1">"U25569"</definedName>
    <definedName name="FDD_42_0" hidden="1">"U25569"</definedName>
    <definedName name="FDD_43_0" hidden="1">"A25569"</definedName>
    <definedName name="FDD_44_0" hidden="1">"A30681"</definedName>
    <definedName name="FDD_44_1" hidden="1">"A31047"</definedName>
    <definedName name="FDD_44_10" hidden="1">"A34334"</definedName>
    <definedName name="FDD_44_11" hidden="1">"A34699"</definedName>
    <definedName name="FDD_44_12" hidden="1">"A35064"</definedName>
    <definedName name="FDD_44_13" hidden="1">"A35430"</definedName>
    <definedName name="FDD_44_14" hidden="1">"A35795"</definedName>
    <definedName name="FDD_44_2" hidden="1">"A31412"</definedName>
    <definedName name="FDD_44_3" hidden="1">"A31777"</definedName>
    <definedName name="FDD_44_4" hidden="1">"A32142"</definedName>
    <definedName name="FDD_44_5" hidden="1">"A32508"</definedName>
    <definedName name="FDD_44_6" hidden="1">"A32873"</definedName>
    <definedName name="FDD_44_7" hidden="1">"A33238"</definedName>
    <definedName name="FDD_44_8" hidden="1">"A33603"</definedName>
    <definedName name="FDD_44_9" hidden="1">"A33969"</definedName>
    <definedName name="FDD_45_0" hidden="1">"A30681"</definedName>
    <definedName name="FDD_45_1" hidden="1">"A31047"</definedName>
    <definedName name="FDD_45_10" hidden="1">"A34334"</definedName>
    <definedName name="FDD_45_11" hidden="1">"A34699"</definedName>
    <definedName name="FDD_45_12" hidden="1">"A35064"</definedName>
    <definedName name="FDD_45_13" hidden="1">"A35430"</definedName>
    <definedName name="FDD_45_14" hidden="1">"A35795"</definedName>
    <definedName name="FDD_45_2" hidden="1">"A31412"</definedName>
    <definedName name="FDD_45_3" hidden="1">"A31777"</definedName>
    <definedName name="FDD_45_4" hidden="1">"A32142"</definedName>
    <definedName name="FDD_45_5" hidden="1">"A32508"</definedName>
    <definedName name="FDD_45_6" hidden="1">"A32873"</definedName>
    <definedName name="FDD_45_7" hidden="1">"A33238"</definedName>
    <definedName name="FDD_45_8" hidden="1">"A33603"</definedName>
    <definedName name="FDD_45_9" hidden="1">"A33969"</definedName>
    <definedName name="FDD_46_0" hidden="1">"A30681"</definedName>
    <definedName name="FDD_46_1" hidden="1">"A31047"</definedName>
    <definedName name="FDD_46_10" hidden="1">"A34334"</definedName>
    <definedName name="FDD_46_11" hidden="1">"A34699"</definedName>
    <definedName name="FDD_46_12" hidden="1">"A35064"</definedName>
    <definedName name="FDD_46_13" hidden="1">"A35430"</definedName>
    <definedName name="FDD_46_14" hidden="1">"A35795"</definedName>
    <definedName name="FDD_46_2" hidden="1">"A31412"</definedName>
    <definedName name="FDD_46_3" hidden="1">"A31777"</definedName>
    <definedName name="FDD_46_4" hidden="1">"A32142"</definedName>
    <definedName name="FDD_46_5" hidden="1">"A32508"</definedName>
    <definedName name="FDD_46_6" hidden="1">"A32873"</definedName>
    <definedName name="FDD_46_7" hidden="1">"A33238"</definedName>
    <definedName name="FDD_46_8" hidden="1">"A33603"</definedName>
    <definedName name="FDD_46_9" hidden="1">"A33969"</definedName>
    <definedName name="FDD_47_0" hidden="1">"A30681"</definedName>
    <definedName name="FDD_47_1" hidden="1">"A31047"</definedName>
    <definedName name="FDD_47_10" hidden="1">"A34334"</definedName>
    <definedName name="FDD_47_11" hidden="1">"A34699"</definedName>
    <definedName name="FDD_47_12" hidden="1">"A35064"</definedName>
    <definedName name="FDD_47_13" hidden="1">"A35430"</definedName>
    <definedName name="FDD_47_14" hidden="1">"A35795"</definedName>
    <definedName name="FDD_47_2" hidden="1">"A31412"</definedName>
    <definedName name="FDD_47_3" hidden="1">"A31777"</definedName>
    <definedName name="FDD_47_4" hidden="1">"A32142"</definedName>
    <definedName name="FDD_47_5" hidden="1">"A32508"</definedName>
    <definedName name="FDD_47_6" hidden="1">"A32873"</definedName>
    <definedName name="FDD_47_7" hidden="1">"A33238"</definedName>
    <definedName name="FDD_47_8" hidden="1">"A33603"</definedName>
    <definedName name="FDD_47_9" hidden="1">"A33969"</definedName>
    <definedName name="FDD_48_0" hidden="1">"A30681"</definedName>
    <definedName name="FDD_48_1" hidden="1">"A31047"</definedName>
    <definedName name="FDD_48_10" hidden="1">"A34334"</definedName>
    <definedName name="FDD_48_11" hidden="1">"A34699"</definedName>
    <definedName name="FDD_48_12" hidden="1">"A35064"</definedName>
    <definedName name="FDD_48_13" hidden="1">"A35430"</definedName>
    <definedName name="FDD_48_14" hidden="1">"A35795"</definedName>
    <definedName name="FDD_48_2" hidden="1">"A31412"</definedName>
    <definedName name="FDD_48_3" hidden="1">"A31777"</definedName>
    <definedName name="FDD_48_4" hidden="1">"A32142"</definedName>
    <definedName name="FDD_48_5" hidden="1">"A32508"</definedName>
    <definedName name="FDD_48_6" hidden="1">"A32873"</definedName>
    <definedName name="FDD_48_7" hidden="1">"A33238"</definedName>
    <definedName name="FDD_48_8" hidden="1">"A33603"</definedName>
    <definedName name="FDD_48_9" hidden="1">"A33969"</definedName>
    <definedName name="FDD_49_0" hidden="1">"A30681"</definedName>
    <definedName name="FDD_49_1" hidden="1">"A31047"</definedName>
    <definedName name="FDD_49_10" hidden="1">"A34334"</definedName>
    <definedName name="FDD_49_11" hidden="1">"A34699"</definedName>
    <definedName name="FDD_49_12" hidden="1">"A35064"</definedName>
    <definedName name="FDD_49_13" hidden="1">"A35430"</definedName>
    <definedName name="FDD_49_14" hidden="1">"A35795"</definedName>
    <definedName name="FDD_49_2" hidden="1">"A31412"</definedName>
    <definedName name="FDD_49_3" hidden="1">"A31777"</definedName>
    <definedName name="FDD_49_4" hidden="1">"A32142"</definedName>
    <definedName name="FDD_49_5" hidden="1">"A32508"</definedName>
    <definedName name="FDD_49_6" hidden="1">"A32873"</definedName>
    <definedName name="FDD_49_7" hidden="1">"A33238"</definedName>
    <definedName name="FDD_49_8" hidden="1">"A33603"</definedName>
    <definedName name="FDD_49_9" hidden="1">"A33969"</definedName>
    <definedName name="FDD_5_0" hidden="1">"A25569"</definedName>
    <definedName name="FDD_50_0" hidden="1">"A30681"</definedName>
    <definedName name="FDD_50_1" hidden="1">"A31047"</definedName>
    <definedName name="FDD_50_10" hidden="1">"A34334"</definedName>
    <definedName name="FDD_50_11" hidden="1">"A34699"</definedName>
    <definedName name="FDD_50_12" hidden="1">"A35064"</definedName>
    <definedName name="FDD_50_13" hidden="1">"A35430"</definedName>
    <definedName name="FDD_50_14" hidden="1">"A35795"</definedName>
    <definedName name="FDD_50_2" hidden="1">"A31412"</definedName>
    <definedName name="FDD_50_3" hidden="1">"A31777"</definedName>
    <definedName name="FDD_50_4" hidden="1">"A32142"</definedName>
    <definedName name="FDD_50_5" hidden="1">"A32508"</definedName>
    <definedName name="FDD_50_6" hidden="1">"A32873"</definedName>
    <definedName name="FDD_50_7" hidden="1">"A33238"</definedName>
    <definedName name="FDD_50_8" hidden="1">"A33603"</definedName>
    <definedName name="FDD_50_9" hidden="1">"A33969"</definedName>
    <definedName name="FDD_51_0" hidden="1">"A30681"</definedName>
    <definedName name="FDD_51_1" hidden="1">"A31047"</definedName>
    <definedName name="FDD_51_10" hidden="1">"A34334"</definedName>
    <definedName name="FDD_51_11" hidden="1">"A34699"</definedName>
    <definedName name="FDD_51_12" hidden="1">"A35064"</definedName>
    <definedName name="FDD_51_13" hidden="1">"A35430"</definedName>
    <definedName name="FDD_51_14" hidden="1">"A35795"</definedName>
    <definedName name="FDD_51_2" hidden="1">"A31412"</definedName>
    <definedName name="FDD_51_3" hidden="1">"A31777"</definedName>
    <definedName name="FDD_51_4" hidden="1">"A32142"</definedName>
    <definedName name="FDD_51_5" hidden="1">"A32508"</definedName>
    <definedName name="FDD_51_6" hidden="1">"A32873"</definedName>
    <definedName name="FDD_51_7" hidden="1">"A33238"</definedName>
    <definedName name="FDD_51_8" hidden="1">"A33603"</definedName>
    <definedName name="FDD_51_9" hidden="1">"A33969"</definedName>
    <definedName name="FDD_52_0" hidden="1">"A30681"</definedName>
    <definedName name="FDD_52_1" hidden="1">"A31047"</definedName>
    <definedName name="FDD_52_10" hidden="1">"A34334"</definedName>
    <definedName name="FDD_52_11" hidden="1">"A34699"</definedName>
    <definedName name="FDD_52_12" hidden="1">"A35064"</definedName>
    <definedName name="FDD_52_13" hidden="1">"A35430"</definedName>
    <definedName name="FDD_52_14" hidden="1">"A35795"</definedName>
    <definedName name="FDD_52_2" hidden="1">"A31412"</definedName>
    <definedName name="FDD_52_3" hidden="1">"A31777"</definedName>
    <definedName name="FDD_52_4" hidden="1">"A32142"</definedName>
    <definedName name="FDD_52_5" hidden="1">"A32508"</definedName>
    <definedName name="FDD_52_6" hidden="1">"A32873"</definedName>
    <definedName name="FDD_52_7" hidden="1">"A33238"</definedName>
    <definedName name="FDD_52_8" hidden="1">"A33603"</definedName>
    <definedName name="FDD_52_9" hidden="1">"A33969"</definedName>
    <definedName name="FDD_53_0" hidden="1">"U30681"</definedName>
    <definedName name="FDD_53_1" hidden="1">"A31047"</definedName>
    <definedName name="FDD_53_10" hidden="1">"A34334"</definedName>
    <definedName name="FDD_53_11" hidden="1">"A34699"</definedName>
    <definedName name="FDD_53_12" hidden="1">"A35064"</definedName>
    <definedName name="FDD_53_13" hidden="1">"A35430"</definedName>
    <definedName name="FDD_53_14" hidden="1">"A35795"</definedName>
    <definedName name="FDD_53_2" hidden="1">"A31412"</definedName>
    <definedName name="FDD_53_3" hidden="1">"A31777"</definedName>
    <definedName name="FDD_53_4" hidden="1">"A32142"</definedName>
    <definedName name="FDD_53_5" hidden="1">"A32508"</definedName>
    <definedName name="FDD_53_6" hidden="1">"A32873"</definedName>
    <definedName name="FDD_53_7" hidden="1">"A33238"</definedName>
    <definedName name="FDD_53_8" hidden="1">"A33603"</definedName>
    <definedName name="FDD_53_9" hidden="1">"A33969"</definedName>
    <definedName name="FDD_54_0" hidden="1">"A30681"</definedName>
    <definedName name="FDD_54_1" hidden="1">"A31047"</definedName>
    <definedName name="FDD_54_10" hidden="1">"A34334"</definedName>
    <definedName name="FDD_54_11" hidden="1">"A34699"</definedName>
    <definedName name="FDD_54_12" hidden="1">"A35064"</definedName>
    <definedName name="FDD_54_13" hidden="1">"A35430"</definedName>
    <definedName name="FDD_54_14" hidden="1">"A35795"</definedName>
    <definedName name="FDD_54_2" hidden="1">"A31412"</definedName>
    <definedName name="FDD_54_3" hidden="1">"A31777"</definedName>
    <definedName name="FDD_54_4" hidden="1">"A32142"</definedName>
    <definedName name="FDD_54_5" hidden="1">"A32508"</definedName>
    <definedName name="FDD_54_6" hidden="1">"A32873"</definedName>
    <definedName name="FDD_54_7" hidden="1">"A33238"</definedName>
    <definedName name="FDD_54_8" hidden="1">"A33603"</definedName>
    <definedName name="FDD_54_9" hidden="1">"A33969"</definedName>
    <definedName name="FDD_55_0" hidden="1">"A30681"</definedName>
    <definedName name="FDD_55_1" hidden="1">"A31047"</definedName>
    <definedName name="FDD_55_10" hidden="1">"A34334"</definedName>
    <definedName name="FDD_55_11" hidden="1">"A34699"</definedName>
    <definedName name="FDD_55_12" hidden="1">"A35064"</definedName>
    <definedName name="FDD_55_13" hidden="1">"A35430"</definedName>
    <definedName name="FDD_55_14" hidden="1">"A35795"</definedName>
    <definedName name="FDD_55_2" hidden="1">"A31412"</definedName>
    <definedName name="FDD_55_3" hidden="1">"A31777"</definedName>
    <definedName name="FDD_55_4" hidden="1">"A32142"</definedName>
    <definedName name="FDD_55_5" hidden="1">"A32508"</definedName>
    <definedName name="FDD_55_6" hidden="1">"A32873"</definedName>
    <definedName name="FDD_55_7" hidden="1">"A33238"</definedName>
    <definedName name="FDD_55_8" hidden="1">"A33603"</definedName>
    <definedName name="FDD_55_9" hidden="1">"A33969"</definedName>
    <definedName name="FDD_56_0" hidden="1">"A30681"</definedName>
    <definedName name="FDD_56_1" hidden="1">"A31047"</definedName>
    <definedName name="FDD_56_10" hidden="1">"A34334"</definedName>
    <definedName name="FDD_56_11" hidden="1">"A34699"</definedName>
    <definedName name="FDD_56_12" hidden="1">"A35064"</definedName>
    <definedName name="FDD_56_13" hidden="1">"A35430"</definedName>
    <definedName name="FDD_56_14" hidden="1">"A35795"</definedName>
    <definedName name="FDD_56_2" hidden="1">"A31412"</definedName>
    <definedName name="FDD_56_3" hidden="1">"A31777"</definedName>
    <definedName name="FDD_56_4" hidden="1">"A32142"</definedName>
    <definedName name="FDD_56_5" hidden="1">"A32508"</definedName>
    <definedName name="FDD_56_6" hidden="1">"A32873"</definedName>
    <definedName name="FDD_56_7" hidden="1">"A33238"</definedName>
    <definedName name="FDD_56_8" hidden="1">"A33603"</definedName>
    <definedName name="FDD_56_9" hidden="1">"A33969"</definedName>
    <definedName name="FDD_57_0" hidden="1">"A30681"</definedName>
    <definedName name="FDD_57_1" hidden="1">"A31047"</definedName>
    <definedName name="FDD_57_10" hidden="1">"A34334"</definedName>
    <definedName name="FDD_57_11" hidden="1">"A34699"</definedName>
    <definedName name="FDD_57_12" hidden="1">"A35064"</definedName>
    <definedName name="FDD_57_13" hidden="1">"A35430"</definedName>
    <definedName name="FDD_57_14" hidden="1">"A35795"</definedName>
    <definedName name="FDD_57_2" hidden="1">"A31412"</definedName>
    <definedName name="FDD_57_3" hidden="1">"A31777"</definedName>
    <definedName name="FDD_57_4" hidden="1">"A32142"</definedName>
    <definedName name="FDD_57_5" hidden="1">"A32508"</definedName>
    <definedName name="FDD_57_6" hidden="1">"A32873"</definedName>
    <definedName name="FDD_57_7" hidden="1">"A33238"</definedName>
    <definedName name="FDD_57_8" hidden="1">"A33603"</definedName>
    <definedName name="FDD_57_9" hidden="1">"A33969"</definedName>
    <definedName name="FDD_58_0" hidden="1">"A30681"</definedName>
    <definedName name="FDD_58_1" hidden="1">"A31047"</definedName>
    <definedName name="FDD_58_10" hidden="1">"A34334"</definedName>
    <definedName name="FDD_58_11" hidden="1">"A34699"</definedName>
    <definedName name="FDD_58_12" hidden="1">"A35064"</definedName>
    <definedName name="FDD_58_13" hidden="1">"A35430"</definedName>
    <definedName name="FDD_58_14" hidden="1">"A35795"</definedName>
    <definedName name="FDD_58_2" hidden="1">"A31412"</definedName>
    <definedName name="FDD_58_3" hidden="1">"A31777"</definedName>
    <definedName name="FDD_58_4" hidden="1">"A32142"</definedName>
    <definedName name="FDD_58_5" hidden="1">"A32508"</definedName>
    <definedName name="FDD_58_6" hidden="1">"A32873"</definedName>
    <definedName name="FDD_58_7" hidden="1">"A33238"</definedName>
    <definedName name="FDD_58_8" hidden="1">"A33603"</definedName>
    <definedName name="FDD_58_9" hidden="1">"A33969"</definedName>
    <definedName name="FDD_59_0" hidden="1">"A30681"</definedName>
    <definedName name="FDD_59_1" hidden="1">"A31047"</definedName>
    <definedName name="FDD_59_10" hidden="1">"A34334"</definedName>
    <definedName name="FDD_59_11" hidden="1">"A34699"</definedName>
    <definedName name="FDD_59_12" hidden="1">"A35064"</definedName>
    <definedName name="FDD_59_13" hidden="1">"A35430"</definedName>
    <definedName name="FDD_59_14" hidden="1">"A35795"</definedName>
    <definedName name="FDD_59_2" hidden="1">"A31412"</definedName>
    <definedName name="FDD_59_3" hidden="1">"A31777"</definedName>
    <definedName name="FDD_59_4" hidden="1">"A32142"</definedName>
    <definedName name="FDD_59_5" hidden="1">"A32508"</definedName>
    <definedName name="FDD_59_6" hidden="1">"A32873"</definedName>
    <definedName name="FDD_59_7" hidden="1">"A33238"</definedName>
    <definedName name="FDD_59_8" hidden="1">"A33603"</definedName>
    <definedName name="FDD_59_9" hidden="1">"A33969"</definedName>
    <definedName name="FDD_6_0" hidden="1">"A25569"</definedName>
    <definedName name="FDD_60_0" hidden="1">"A30681"</definedName>
    <definedName name="FDD_60_1" hidden="1">"A31047"</definedName>
    <definedName name="FDD_60_10" hidden="1">"A34334"</definedName>
    <definedName name="FDD_60_11" hidden="1">"A34699"</definedName>
    <definedName name="FDD_60_12" hidden="1">"A35064"</definedName>
    <definedName name="FDD_60_13" hidden="1">"A35430"</definedName>
    <definedName name="FDD_60_14" hidden="1">"A35795"</definedName>
    <definedName name="FDD_60_2" hidden="1">"A31412"</definedName>
    <definedName name="FDD_60_3" hidden="1">"A31777"</definedName>
    <definedName name="FDD_60_4" hidden="1">"A32142"</definedName>
    <definedName name="FDD_60_5" hidden="1">"A32508"</definedName>
    <definedName name="FDD_60_6" hidden="1">"A32873"</definedName>
    <definedName name="FDD_60_7" hidden="1">"A33238"</definedName>
    <definedName name="FDD_60_8" hidden="1">"A33603"</definedName>
    <definedName name="FDD_60_9" hidden="1">"A33969"</definedName>
    <definedName name="FDD_61_0" hidden="1">"A30681"</definedName>
    <definedName name="FDD_61_1" hidden="1">"A31047"</definedName>
    <definedName name="FDD_61_10" hidden="1">"A34334"</definedName>
    <definedName name="FDD_61_11" hidden="1">"A34699"</definedName>
    <definedName name="FDD_61_12" hidden="1">"A35064"</definedName>
    <definedName name="FDD_61_13" hidden="1">"A35430"</definedName>
    <definedName name="FDD_61_14" hidden="1">"A35795"</definedName>
    <definedName name="FDD_61_2" hidden="1">"A31412"</definedName>
    <definedName name="FDD_61_3" hidden="1">"A31777"</definedName>
    <definedName name="FDD_61_4" hidden="1">"A32142"</definedName>
    <definedName name="FDD_61_5" hidden="1">"A32508"</definedName>
    <definedName name="FDD_61_6" hidden="1">"A32873"</definedName>
    <definedName name="FDD_61_7" hidden="1">"A33238"</definedName>
    <definedName name="FDD_61_8" hidden="1">"A33603"</definedName>
    <definedName name="FDD_61_9" hidden="1">"A33969"</definedName>
    <definedName name="FDD_62_0" hidden="1">"A30681"</definedName>
    <definedName name="FDD_62_1" hidden="1">"A31047"</definedName>
    <definedName name="FDD_62_10" hidden="1">"A34334"</definedName>
    <definedName name="FDD_62_11" hidden="1">"A34699"</definedName>
    <definedName name="FDD_62_12" hidden="1">"A35064"</definedName>
    <definedName name="FDD_62_13" hidden="1">"A35430"</definedName>
    <definedName name="FDD_62_14" hidden="1">"A35795"</definedName>
    <definedName name="FDD_62_2" hidden="1">"A31412"</definedName>
    <definedName name="FDD_62_3" hidden="1">"A31777"</definedName>
    <definedName name="FDD_62_4" hidden="1">"A32142"</definedName>
    <definedName name="FDD_62_5" hidden="1">"A32508"</definedName>
    <definedName name="FDD_62_6" hidden="1">"A32873"</definedName>
    <definedName name="FDD_62_7" hidden="1">"A33238"</definedName>
    <definedName name="FDD_62_8" hidden="1">"A33603"</definedName>
    <definedName name="FDD_62_9" hidden="1">"A33969"</definedName>
    <definedName name="FDD_63_0" hidden="1">"A30681"</definedName>
    <definedName name="FDD_63_1" hidden="1">"A31047"</definedName>
    <definedName name="FDD_63_10" hidden="1">"A34334"</definedName>
    <definedName name="FDD_63_11" hidden="1">"A34699"</definedName>
    <definedName name="FDD_63_12" hidden="1">"A35064"</definedName>
    <definedName name="FDD_63_13" hidden="1">"A35430"</definedName>
    <definedName name="FDD_63_14" hidden="1">"A35795"</definedName>
    <definedName name="FDD_63_2" hidden="1">"A31412"</definedName>
    <definedName name="FDD_63_3" hidden="1">"A31777"</definedName>
    <definedName name="FDD_63_4" hidden="1">"A32142"</definedName>
    <definedName name="FDD_63_5" hidden="1">"A32508"</definedName>
    <definedName name="FDD_63_6" hidden="1">"A32873"</definedName>
    <definedName name="FDD_63_7" hidden="1">"A33238"</definedName>
    <definedName name="FDD_63_8" hidden="1">"A33603"</definedName>
    <definedName name="FDD_63_9" hidden="1">"A33969"</definedName>
    <definedName name="FDD_64_0" hidden="1">"A30681"</definedName>
    <definedName name="FDD_64_1" hidden="1">"A31047"</definedName>
    <definedName name="FDD_64_10" hidden="1">"A34334"</definedName>
    <definedName name="FDD_64_11" hidden="1">"A34699"</definedName>
    <definedName name="FDD_64_12" hidden="1">"A35064"</definedName>
    <definedName name="FDD_64_13" hidden="1">"A35430"</definedName>
    <definedName name="FDD_64_14" hidden="1">"A35795"</definedName>
    <definedName name="FDD_64_2" hidden="1">"A31412"</definedName>
    <definedName name="FDD_64_3" hidden="1">"A31777"</definedName>
    <definedName name="FDD_64_4" hidden="1">"A32142"</definedName>
    <definedName name="FDD_64_5" hidden="1">"A32508"</definedName>
    <definedName name="FDD_64_6" hidden="1">"A32873"</definedName>
    <definedName name="FDD_64_7" hidden="1">"A33238"</definedName>
    <definedName name="FDD_64_8" hidden="1">"A33603"</definedName>
    <definedName name="FDD_64_9" hidden="1">"A33969"</definedName>
    <definedName name="FDD_65_0" hidden="1">"A30681"</definedName>
    <definedName name="FDD_65_1" hidden="1">"A31047"</definedName>
    <definedName name="FDD_65_10" hidden="1">"A34334"</definedName>
    <definedName name="FDD_65_11" hidden="1">"A34699"</definedName>
    <definedName name="FDD_65_12" hidden="1">"A35064"</definedName>
    <definedName name="FDD_65_13" hidden="1">"A35430"</definedName>
    <definedName name="FDD_65_14" hidden="1">"A35795"</definedName>
    <definedName name="FDD_65_2" hidden="1">"A31412"</definedName>
    <definedName name="FDD_65_3" hidden="1">"A31777"</definedName>
    <definedName name="FDD_65_4" hidden="1">"A32142"</definedName>
    <definedName name="FDD_65_5" hidden="1">"A32508"</definedName>
    <definedName name="FDD_65_6" hidden="1">"A32873"</definedName>
    <definedName name="FDD_65_7" hidden="1">"A33238"</definedName>
    <definedName name="FDD_65_8" hidden="1">"A33603"</definedName>
    <definedName name="FDD_65_9" hidden="1">"A33969"</definedName>
    <definedName name="FDD_66_0" hidden="1">"A30681"</definedName>
    <definedName name="FDD_66_1" hidden="1">"A31047"</definedName>
    <definedName name="FDD_66_10" hidden="1">"A34334"</definedName>
    <definedName name="FDD_66_11" hidden="1">"A34699"</definedName>
    <definedName name="FDD_66_12" hidden="1">"A35064"</definedName>
    <definedName name="FDD_66_13" hidden="1">"A35430"</definedName>
    <definedName name="FDD_66_14" hidden="1">"A35795"</definedName>
    <definedName name="FDD_66_2" hidden="1">"A31412"</definedName>
    <definedName name="FDD_66_3" hidden="1">"A31777"</definedName>
    <definedName name="FDD_66_4" hidden="1">"A32142"</definedName>
    <definedName name="FDD_66_5" hidden="1">"A32508"</definedName>
    <definedName name="FDD_66_6" hidden="1">"A32873"</definedName>
    <definedName name="FDD_66_7" hidden="1">"A33238"</definedName>
    <definedName name="FDD_66_8" hidden="1">"A33603"</definedName>
    <definedName name="FDD_66_9" hidden="1">"A33969"</definedName>
    <definedName name="FDD_67_0" hidden="1">"A30681"</definedName>
    <definedName name="FDD_67_1" hidden="1">"A31047"</definedName>
    <definedName name="FDD_67_10" hidden="1">"A34334"</definedName>
    <definedName name="FDD_67_11" hidden="1">"A34699"</definedName>
    <definedName name="FDD_67_12" hidden="1">"A35064"</definedName>
    <definedName name="FDD_67_13" hidden="1">"A35430"</definedName>
    <definedName name="FDD_67_14" hidden="1">"A35795"</definedName>
    <definedName name="FDD_67_2" hidden="1">"A31412"</definedName>
    <definedName name="FDD_67_3" hidden="1">"A31777"</definedName>
    <definedName name="FDD_67_4" hidden="1">"A32142"</definedName>
    <definedName name="FDD_67_5" hidden="1">"A32508"</definedName>
    <definedName name="FDD_67_6" hidden="1">"A32873"</definedName>
    <definedName name="FDD_67_7" hidden="1">"A33238"</definedName>
    <definedName name="FDD_67_8" hidden="1">"A33603"</definedName>
    <definedName name="FDD_67_9" hidden="1">"A33969"</definedName>
    <definedName name="FDD_68_0" hidden="1">"A30681"</definedName>
    <definedName name="FDD_68_1" hidden="1">"A31047"</definedName>
    <definedName name="FDD_68_10" hidden="1">"A34334"</definedName>
    <definedName name="FDD_68_11" hidden="1">"A34699"</definedName>
    <definedName name="FDD_68_12" hidden="1">"A35064"</definedName>
    <definedName name="FDD_68_13" hidden="1">"A35430"</definedName>
    <definedName name="FDD_68_14" hidden="1">"A35795"</definedName>
    <definedName name="FDD_68_2" hidden="1">"A31412"</definedName>
    <definedName name="FDD_68_3" hidden="1">"A31777"</definedName>
    <definedName name="FDD_68_4" hidden="1">"A32142"</definedName>
    <definedName name="FDD_68_5" hidden="1">"A32508"</definedName>
    <definedName name="FDD_68_6" hidden="1">"A32873"</definedName>
    <definedName name="FDD_68_7" hidden="1">"A33238"</definedName>
    <definedName name="FDD_68_8" hidden="1">"A33603"</definedName>
    <definedName name="FDD_68_9" hidden="1">"A33969"</definedName>
    <definedName name="FDD_69_0" hidden="1">"U30681"</definedName>
    <definedName name="FDD_69_1" hidden="1">"A31047"</definedName>
    <definedName name="FDD_69_10" hidden="1">"A34334"</definedName>
    <definedName name="FDD_69_11" hidden="1">"A34699"</definedName>
    <definedName name="FDD_69_12" hidden="1">"A35064"</definedName>
    <definedName name="FDD_69_13" hidden="1">"A35430"</definedName>
    <definedName name="FDD_69_14" hidden="1">"A35795"</definedName>
    <definedName name="FDD_69_2" hidden="1">"A31412"</definedName>
    <definedName name="FDD_69_3" hidden="1">"A31777"</definedName>
    <definedName name="FDD_69_4" hidden="1">"A32142"</definedName>
    <definedName name="FDD_69_5" hidden="1">"A32508"</definedName>
    <definedName name="FDD_69_6" hidden="1">"A32873"</definedName>
    <definedName name="FDD_69_7" hidden="1">"A33238"</definedName>
    <definedName name="FDD_69_8" hidden="1">"A33603"</definedName>
    <definedName name="FDD_69_9" hidden="1">"A33969"</definedName>
    <definedName name="FDD_7_0" hidden="1">"A25569"</definedName>
    <definedName name="FDD_70_0" hidden="1">"A30681"</definedName>
    <definedName name="FDD_70_1" hidden="1">"A31047"</definedName>
    <definedName name="FDD_70_10" hidden="1">"A34334"</definedName>
    <definedName name="FDD_70_11" hidden="1">"A34699"</definedName>
    <definedName name="FDD_70_12" hidden="1">"A35064"</definedName>
    <definedName name="FDD_70_13" hidden="1">"A35430"</definedName>
    <definedName name="FDD_70_14" hidden="1">"A35795"</definedName>
    <definedName name="FDD_70_2" hidden="1">"A31412"</definedName>
    <definedName name="FDD_70_3" hidden="1">"A31777"</definedName>
    <definedName name="FDD_70_4" hidden="1">"A32142"</definedName>
    <definedName name="FDD_70_5" hidden="1">"A32508"</definedName>
    <definedName name="FDD_70_6" hidden="1">"A32873"</definedName>
    <definedName name="FDD_70_7" hidden="1">"A33238"</definedName>
    <definedName name="FDD_70_8" hidden="1">"A33603"</definedName>
    <definedName name="FDD_70_9" hidden="1">"A33969"</definedName>
    <definedName name="FDD_71_0" hidden="1">"A30681"</definedName>
    <definedName name="FDD_71_1" hidden="1">"A31047"</definedName>
    <definedName name="FDD_71_10" hidden="1">"A34334"</definedName>
    <definedName name="FDD_71_11" hidden="1">"A34699"</definedName>
    <definedName name="FDD_71_12" hidden="1">"A35064"</definedName>
    <definedName name="FDD_71_13" hidden="1">"A35430"</definedName>
    <definedName name="FDD_71_14" hidden="1">"A35795"</definedName>
    <definedName name="FDD_71_2" hidden="1">"A31412"</definedName>
    <definedName name="FDD_71_3" hidden="1">"A31777"</definedName>
    <definedName name="FDD_71_4" hidden="1">"A32142"</definedName>
    <definedName name="FDD_71_5" hidden="1">"A32508"</definedName>
    <definedName name="FDD_71_6" hidden="1">"A32873"</definedName>
    <definedName name="FDD_71_7" hidden="1">"A33238"</definedName>
    <definedName name="FDD_71_8" hidden="1">"A33603"</definedName>
    <definedName name="FDD_71_9" hidden="1">"A33969"</definedName>
    <definedName name="FDD_72_0" hidden="1">"A30681"</definedName>
    <definedName name="FDD_72_1" hidden="1">"A31047"</definedName>
    <definedName name="FDD_72_10" hidden="1">"A34334"</definedName>
    <definedName name="FDD_72_11" hidden="1">"A34699"</definedName>
    <definedName name="FDD_72_12" hidden="1">"A35064"</definedName>
    <definedName name="FDD_72_13" hidden="1">"A35430"</definedName>
    <definedName name="FDD_72_14" hidden="1">"A35795"</definedName>
    <definedName name="FDD_72_2" hidden="1">"A31412"</definedName>
    <definedName name="FDD_72_3" hidden="1">"A31777"</definedName>
    <definedName name="FDD_72_4" hidden="1">"A32142"</definedName>
    <definedName name="FDD_72_5" hidden="1">"A32508"</definedName>
    <definedName name="FDD_72_6" hidden="1">"A32873"</definedName>
    <definedName name="FDD_72_7" hidden="1">"A33238"</definedName>
    <definedName name="FDD_72_8" hidden="1">"A33603"</definedName>
    <definedName name="FDD_72_9" hidden="1">"A33969"</definedName>
    <definedName name="FDD_73_0" hidden="1">"A30681"</definedName>
    <definedName name="FDD_73_1" hidden="1">"A31047"</definedName>
    <definedName name="FDD_73_10" hidden="1">"A34334"</definedName>
    <definedName name="FDD_73_11" hidden="1">"A34699"</definedName>
    <definedName name="FDD_73_12" hidden="1">"A35064"</definedName>
    <definedName name="FDD_73_13" hidden="1">"A35430"</definedName>
    <definedName name="FDD_73_14" hidden="1">"A35795"</definedName>
    <definedName name="FDD_73_2" hidden="1">"A31412"</definedName>
    <definedName name="FDD_73_3" hidden="1">"A31777"</definedName>
    <definedName name="FDD_73_4" hidden="1">"A32142"</definedName>
    <definedName name="FDD_73_5" hidden="1">"A32508"</definedName>
    <definedName name="FDD_73_6" hidden="1">"A32873"</definedName>
    <definedName name="FDD_73_7" hidden="1">"A33238"</definedName>
    <definedName name="FDD_73_8" hidden="1">"A33603"</definedName>
    <definedName name="FDD_73_9" hidden="1">"A33969"</definedName>
    <definedName name="FDD_74_0" hidden="1">"A30681"</definedName>
    <definedName name="FDD_74_1" hidden="1">"A31047"</definedName>
    <definedName name="FDD_74_10" hidden="1">"A34334"</definedName>
    <definedName name="FDD_74_11" hidden="1">"A34699"</definedName>
    <definedName name="FDD_74_12" hidden="1">"A35064"</definedName>
    <definedName name="FDD_74_13" hidden="1">"A35430"</definedName>
    <definedName name="FDD_74_14" hidden="1">"A35795"</definedName>
    <definedName name="FDD_74_2" hidden="1">"A31412"</definedName>
    <definedName name="FDD_74_3" hidden="1">"A31777"</definedName>
    <definedName name="FDD_74_4" hidden="1">"A32142"</definedName>
    <definedName name="FDD_74_5" hidden="1">"A32508"</definedName>
    <definedName name="FDD_74_6" hidden="1">"A32873"</definedName>
    <definedName name="FDD_74_7" hidden="1">"A33238"</definedName>
    <definedName name="FDD_74_8" hidden="1">"A33603"</definedName>
    <definedName name="FDD_74_9" hidden="1">"A33969"</definedName>
    <definedName name="FDD_75_0" hidden="1">"A30681"</definedName>
    <definedName name="FDD_75_1" hidden="1">"A31047"</definedName>
    <definedName name="FDD_75_10" hidden="1">"A34334"</definedName>
    <definedName name="FDD_75_11" hidden="1">"A34699"</definedName>
    <definedName name="FDD_75_12" hidden="1">"A35064"</definedName>
    <definedName name="FDD_75_13" hidden="1">"A35430"</definedName>
    <definedName name="FDD_75_14" hidden="1">"A35795"</definedName>
    <definedName name="FDD_75_2" hidden="1">"A31412"</definedName>
    <definedName name="FDD_75_3" hidden="1">"A31777"</definedName>
    <definedName name="FDD_75_4" hidden="1">"A32142"</definedName>
    <definedName name="FDD_75_5" hidden="1">"A32508"</definedName>
    <definedName name="FDD_75_6" hidden="1">"A32873"</definedName>
    <definedName name="FDD_75_7" hidden="1">"A33238"</definedName>
    <definedName name="FDD_75_8" hidden="1">"A33603"</definedName>
    <definedName name="FDD_75_9" hidden="1">"A33969"</definedName>
    <definedName name="FDD_76_0" hidden="1">"A30681"</definedName>
    <definedName name="FDD_76_1" hidden="1">"A31047"</definedName>
    <definedName name="FDD_76_10" hidden="1">"A34334"</definedName>
    <definedName name="FDD_76_11" hidden="1">"A34699"</definedName>
    <definedName name="FDD_76_12" hidden="1">"A35064"</definedName>
    <definedName name="FDD_76_13" hidden="1">"A35430"</definedName>
    <definedName name="FDD_76_14" hidden="1">"A35795"</definedName>
    <definedName name="FDD_76_2" hidden="1">"A31412"</definedName>
    <definedName name="FDD_76_3" hidden="1">"A31777"</definedName>
    <definedName name="FDD_76_4" hidden="1">"A32142"</definedName>
    <definedName name="FDD_76_5" hidden="1">"A32508"</definedName>
    <definedName name="FDD_76_6" hidden="1">"A32873"</definedName>
    <definedName name="FDD_76_7" hidden="1">"A33238"</definedName>
    <definedName name="FDD_76_8" hidden="1">"A33603"</definedName>
    <definedName name="FDD_76_9" hidden="1">"A33969"</definedName>
    <definedName name="FDD_77_0" hidden="1">"A30681"</definedName>
    <definedName name="FDD_77_1" hidden="1">"A31047"</definedName>
    <definedName name="FDD_77_10" hidden="1">"A34334"</definedName>
    <definedName name="FDD_77_11" hidden="1">"A34699"</definedName>
    <definedName name="FDD_77_12" hidden="1">"A35064"</definedName>
    <definedName name="FDD_77_13" hidden="1">"A35430"</definedName>
    <definedName name="FDD_77_14" hidden="1">"A35795"</definedName>
    <definedName name="FDD_77_2" hidden="1">"A31412"</definedName>
    <definedName name="FDD_77_3" hidden="1">"A31777"</definedName>
    <definedName name="FDD_77_4" hidden="1">"A32142"</definedName>
    <definedName name="FDD_77_5" hidden="1">"A32508"</definedName>
    <definedName name="FDD_77_6" hidden="1">"A32873"</definedName>
    <definedName name="FDD_77_7" hidden="1">"A33238"</definedName>
    <definedName name="FDD_77_8" hidden="1">"A33603"</definedName>
    <definedName name="FDD_77_9" hidden="1">"A33969"</definedName>
    <definedName name="FDD_78_0" hidden="1">"A30681"</definedName>
    <definedName name="FDD_78_1" hidden="1">"A31047"</definedName>
    <definedName name="FDD_78_10" hidden="1">"A34334"</definedName>
    <definedName name="FDD_78_11" hidden="1">"A34699"</definedName>
    <definedName name="FDD_78_12" hidden="1">"A35064"</definedName>
    <definedName name="FDD_78_13" hidden="1">"A35430"</definedName>
    <definedName name="FDD_78_14" hidden="1">"A35795"</definedName>
    <definedName name="FDD_78_2" hidden="1">"A31412"</definedName>
    <definedName name="FDD_78_3" hidden="1">"A31777"</definedName>
    <definedName name="FDD_78_4" hidden="1">"A32142"</definedName>
    <definedName name="FDD_78_5" hidden="1">"A32508"</definedName>
    <definedName name="FDD_78_6" hidden="1">"A32873"</definedName>
    <definedName name="FDD_78_7" hidden="1">"A33238"</definedName>
    <definedName name="FDD_78_8" hidden="1">"A33603"</definedName>
    <definedName name="FDD_78_9" hidden="1">"A33969"</definedName>
    <definedName name="FDD_79_0" hidden="1">"A30681"</definedName>
    <definedName name="FDD_79_1" hidden="1">"A31047"</definedName>
    <definedName name="FDD_79_10" hidden="1">"A34334"</definedName>
    <definedName name="FDD_79_11" hidden="1">"A34699"</definedName>
    <definedName name="FDD_79_12" hidden="1">"A35064"</definedName>
    <definedName name="FDD_79_13" hidden="1">"A35430"</definedName>
    <definedName name="FDD_79_14" hidden="1">"A35795"</definedName>
    <definedName name="FDD_79_2" hidden="1">"A31412"</definedName>
    <definedName name="FDD_79_3" hidden="1">"A31777"</definedName>
    <definedName name="FDD_79_4" hidden="1">"A32142"</definedName>
    <definedName name="FDD_79_5" hidden="1">"A32508"</definedName>
    <definedName name="FDD_79_6" hidden="1">"A32873"</definedName>
    <definedName name="FDD_79_7" hidden="1">"A33238"</definedName>
    <definedName name="FDD_79_8" hidden="1">"A33603"</definedName>
    <definedName name="FDD_79_9" hidden="1">"A33969"</definedName>
    <definedName name="FDD_8_0" hidden="1">"A25569"</definedName>
    <definedName name="FDD_80_0" hidden="1">"A30681"</definedName>
    <definedName name="FDD_80_1" hidden="1">"A31047"</definedName>
    <definedName name="FDD_80_10" hidden="1">"A34334"</definedName>
    <definedName name="FDD_80_11" hidden="1">"A34699"</definedName>
    <definedName name="FDD_80_12" hidden="1">"A35064"</definedName>
    <definedName name="FDD_80_13" hidden="1">"A35430"</definedName>
    <definedName name="FDD_80_14" hidden="1">"A35795"</definedName>
    <definedName name="FDD_80_2" hidden="1">"A31412"</definedName>
    <definedName name="FDD_80_3" hidden="1">"A31777"</definedName>
    <definedName name="FDD_80_4" hidden="1">"A32142"</definedName>
    <definedName name="FDD_80_5" hidden="1">"A32508"</definedName>
    <definedName name="FDD_80_6" hidden="1">"A32873"</definedName>
    <definedName name="FDD_80_7" hidden="1">"A33238"</definedName>
    <definedName name="FDD_80_8" hidden="1">"A33603"</definedName>
    <definedName name="FDD_80_9" hidden="1">"A33969"</definedName>
    <definedName name="FDD_81_0" hidden="1">"A30681"</definedName>
    <definedName name="FDD_81_1" hidden="1">"A31047"</definedName>
    <definedName name="FDD_81_10" hidden="1">"A34334"</definedName>
    <definedName name="FDD_81_11" hidden="1">"A34699"</definedName>
    <definedName name="FDD_81_12" hidden="1">"A35064"</definedName>
    <definedName name="FDD_81_13" hidden="1">"A35430"</definedName>
    <definedName name="FDD_81_14" hidden="1">"A35795"</definedName>
    <definedName name="FDD_81_2" hidden="1">"A31412"</definedName>
    <definedName name="FDD_81_3" hidden="1">"A31777"</definedName>
    <definedName name="FDD_81_4" hidden="1">"A32142"</definedName>
    <definedName name="FDD_81_5" hidden="1">"A32508"</definedName>
    <definedName name="FDD_81_6" hidden="1">"A32873"</definedName>
    <definedName name="FDD_81_7" hidden="1">"A33238"</definedName>
    <definedName name="FDD_81_8" hidden="1">"A33603"</definedName>
    <definedName name="FDD_81_9" hidden="1">"A33969"</definedName>
    <definedName name="FDD_82_0" hidden="1">"A30681"</definedName>
    <definedName name="FDD_82_1" hidden="1">"A31047"</definedName>
    <definedName name="FDD_82_10" hidden="1">"A34334"</definedName>
    <definedName name="FDD_82_11" hidden="1">"A34699"</definedName>
    <definedName name="FDD_82_12" hidden="1">"A35064"</definedName>
    <definedName name="FDD_82_13" hidden="1">"A35430"</definedName>
    <definedName name="FDD_82_14" hidden="1">"A35795"</definedName>
    <definedName name="FDD_82_2" hidden="1">"A31412"</definedName>
    <definedName name="FDD_82_3" hidden="1">"A31777"</definedName>
    <definedName name="FDD_82_4" hidden="1">"A32142"</definedName>
    <definedName name="FDD_82_5" hidden="1">"A32508"</definedName>
    <definedName name="FDD_82_6" hidden="1">"A32873"</definedName>
    <definedName name="FDD_82_7" hidden="1">"A33238"</definedName>
    <definedName name="FDD_82_8" hidden="1">"A33603"</definedName>
    <definedName name="FDD_82_9" hidden="1">"A33969"</definedName>
    <definedName name="FDD_83_0" hidden="1">"A30681"</definedName>
    <definedName name="FDD_83_1" hidden="1">"A31047"</definedName>
    <definedName name="FDD_83_10" hidden="1">"A34334"</definedName>
    <definedName name="FDD_83_11" hidden="1">"A34699"</definedName>
    <definedName name="FDD_83_12" hidden="1">"A35064"</definedName>
    <definedName name="FDD_83_13" hidden="1">"A35430"</definedName>
    <definedName name="FDD_83_14" hidden="1">"A35795"</definedName>
    <definedName name="FDD_83_2" hidden="1">"A31412"</definedName>
    <definedName name="FDD_83_3" hidden="1">"A31777"</definedName>
    <definedName name="FDD_83_4" hidden="1">"A32142"</definedName>
    <definedName name="FDD_83_5" hidden="1">"A32508"</definedName>
    <definedName name="FDD_83_6" hidden="1">"A32873"</definedName>
    <definedName name="FDD_83_7" hidden="1">"A33238"</definedName>
    <definedName name="FDD_83_8" hidden="1">"A33603"</definedName>
    <definedName name="FDD_83_9" hidden="1">"A33969"</definedName>
    <definedName name="FDD_84_0" hidden="1">"A30681"</definedName>
    <definedName name="FDD_84_1" hidden="1">"A31047"</definedName>
    <definedName name="FDD_84_10" hidden="1">"A34334"</definedName>
    <definedName name="FDD_84_11" hidden="1">"A34699"</definedName>
    <definedName name="FDD_84_12" hidden="1">"A35064"</definedName>
    <definedName name="FDD_84_13" hidden="1">"A35430"</definedName>
    <definedName name="FDD_84_14" hidden="1">"A35795"</definedName>
    <definedName name="FDD_84_2" hidden="1">"A31412"</definedName>
    <definedName name="FDD_84_3" hidden="1">"A31777"</definedName>
    <definedName name="FDD_84_4" hidden="1">"A32142"</definedName>
    <definedName name="FDD_84_5" hidden="1">"A32508"</definedName>
    <definedName name="FDD_84_6" hidden="1">"A32873"</definedName>
    <definedName name="FDD_84_7" hidden="1">"A33238"</definedName>
    <definedName name="FDD_84_8" hidden="1">"A33603"</definedName>
    <definedName name="FDD_84_9" hidden="1">"A33969"</definedName>
    <definedName name="FDD_85_0" hidden="1">"A30681"</definedName>
    <definedName name="FDD_85_1" hidden="1">"A31047"</definedName>
    <definedName name="FDD_85_10" hidden="1">"A34334"</definedName>
    <definedName name="FDD_85_11" hidden="1">"A34699"</definedName>
    <definedName name="FDD_85_12" hidden="1">"A35064"</definedName>
    <definedName name="FDD_85_13" hidden="1">"A35430"</definedName>
    <definedName name="FDD_85_14" hidden="1">"A35795"</definedName>
    <definedName name="FDD_85_2" hidden="1">"A31412"</definedName>
    <definedName name="FDD_85_3" hidden="1">"A31777"</definedName>
    <definedName name="FDD_85_4" hidden="1">"A32142"</definedName>
    <definedName name="FDD_85_5" hidden="1">"A32508"</definedName>
    <definedName name="FDD_85_6" hidden="1">"A32873"</definedName>
    <definedName name="FDD_85_7" hidden="1">"A33238"</definedName>
    <definedName name="FDD_85_8" hidden="1">"A33603"</definedName>
    <definedName name="FDD_85_9" hidden="1">"A33969"</definedName>
    <definedName name="FDD_86_0" hidden="1">"A30681"</definedName>
    <definedName name="FDD_86_1" hidden="1">"A31047"</definedName>
    <definedName name="FDD_86_10" hidden="1">"A34334"</definedName>
    <definedName name="FDD_86_11" hidden="1">"A34699"</definedName>
    <definedName name="FDD_86_12" hidden="1">"A35064"</definedName>
    <definedName name="FDD_86_13" hidden="1">"A35430"</definedName>
    <definedName name="FDD_86_14" hidden="1">"A35795"</definedName>
    <definedName name="FDD_86_2" hidden="1">"A31412"</definedName>
    <definedName name="FDD_86_3" hidden="1">"A31777"</definedName>
    <definedName name="FDD_86_4" hidden="1">"A32142"</definedName>
    <definedName name="FDD_86_5" hidden="1">"A32508"</definedName>
    <definedName name="FDD_86_6" hidden="1">"A32873"</definedName>
    <definedName name="FDD_86_7" hidden="1">"A33238"</definedName>
    <definedName name="FDD_86_8" hidden="1">"A33603"</definedName>
    <definedName name="FDD_86_9" hidden="1">"A33969"</definedName>
    <definedName name="FDD_87_0" hidden="1">"A30681"</definedName>
    <definedName name="FDD_87_1" hidden="1">"A31047"</definedName>
    <definedName name="FDD_87_10" hidden="1">"A34334"</definedName>
    <definedName name="FDD_87_11" hidden="1">"A34699"</definedName>
    <definedName name="FDD_87_12" hidden="1">"A35064"</definedName>
    <definedName name="FDD_87_13" hidden="1">"A35430"</definedName>
    <definedName name="FDD_87_14" hidden="1">"A35795"</definedName>
    <definedName name="FDD_87_2" hidden="1">"A31412"</definedName>
    <definedName name="FDD_87_3" hidden="1">"A31777"</definedName>
    <definedName name="FDD_87_4" hidden="1">"A32142"</definedName>
    <definedName name="FDD_87_5" hidden="1">"A32508"</definedName>
    <definedName name="FDD_87_6" hidden="1">"A32873"</definedName>
    <definedName name="FDD_87_7" hidden="1">"A33238"</definedName>
    <definedName name="FDD_87_8" hidden="1">"A33603"</definedName>
    <definedName name="FDD_87_9" hidden="1">"A33969"</definedName>
    <definedName name="FDD_88_0" hidden="1">"A30681"</definedName>
    <definedName name="FDD_88_1" hidden="1">"A31047"</definedName>
    <definedName name="FDD_88_10" hidden="1">"A34334"</definedName>
    <definedName name="FDD_88_11" hidden="1">"A34699"</definedName>
    <definedName name="FDD_88_12" hidden="1">"A35064"</definedName>
    <definedName name="FDD_88_13" hidden="1">"A35430"</definedName>
    <definedName name="FDD_88_14" hidden="1">"A35795"</definedName>
    <definedName name="FDD_88_2" hidden="1">"A31412"</definedName>
    <definedName name="FDD_88_3" hidden="1">"A31777"</definedName>
    <definedName name="FDD_88_4" hidden="1">"A32142"</definedName>
    <definedName name="FDD_88_5" hidden="1">"A32508"</definedName>
    <definedName name="FDD_88_6" hidden="1">"A32873"</definedName>
    <definedName name="FDD_88_7" hidden="1">"A33238"</definedName>
    <definedName name="FDD_88_8" hidden="1">"A33603"</definedName>
    <definedName name="FDD_88_9" hidden="1">"A33969"</definedName>
    <definedName name="FDD_89_0" hidden="1">"A30681"</definedName>
    <definedName name="FDD_89_1" hidden="1">"A31047"</definedName>
    <definedName name="FDD_89_10" hidden="1">"A34334"</definedName>
    <definedName name="FDD_89_11" hidden="1">"A34699"</definedName>
    <definedName name="FDD_89_12" hidden="1">"A35064"</definedName>
    <definedName name="FDD_89_13" hidden="1">"A35430"</definedName>
    <definedName name="FDD_89_14" hidden="1">"A35795"</definedName>
    <definedName name="FDD_89_2" hidden="1">"A31412"</definedName>
    <definedName name="FDD_89_3" hidden="1">"A31777"</definedName>
    <definedName name="FDD_89_4" hidden="1">"A32142"</definedName>
    <definedName name="FDD_89_5" hidden="1">"A32508"</definedName>
    <definedName name="FDD_89_6" hidden="1">"A32873"</definedName>
    <definedName name="FDD_89_7" hidden="1">"A33238"</definedName>
    <definedName name="FDD_89_8" hidden="1">"A33603"</definedName>
    <definedName name="FDD_89_9" hidden="1">"A33969"</definedName>
    <definedName name="FDD_9_0" hidden="1">"A25569"</definedName>
    <definedName name="FDD_90_0" hidden="1">"A30681"</definedName>
    <definedName name="FDD_90_1" hidden="1">"A31047"</definedName>
    <definedName name="FDD_90_10" hidden="1">"A34334"</definedName>
    <definedName name="FDD_90_11" hidden="1">"A34699"</definedName>
    <definedName name="FDD_90_12" hidden="1">"A35064"</definedName>
    <definedName name="FDD_90_13" hidden="1">"A35430"</definedName>
    <definedName name="FDD_90_14" hidden="1">"A35795"</definedName>
    <definedName name="FDD_90_2" hidden="1">"A31412"</definedName>
    <definedName name="FDD_90_3" hidden="1">"A31777"</definedName>
    <definedName name="FDD_90_4" hidden="1">"A32142"</definedName>
    <definedName name="FDD_90_5" hidden="1">"A32508"</definedName>
    <definedName name="FDD_90_6" hidden="1">"A32873"</definedName>
    <definedName name="FDD_90_7" hidden="1">"A33238"</definedName>
    <definedName name="FDD_90_8" hidden="1">"A33603"</definedName>
    <definedName name="FDD_90_9" hidden="1">"A33969"</definedName>
    <definedName name="FDD_91_0" hidden="1">"A30681"</definedName>
    <definedName name="FDD_91_1" hidden="1">"A31047"</definedName>
    <definedName name="FDD_91_10" hidden="1">"A34334"</definedName>
    <definedName name="FDD_91_11" hidden="1">"A34699"</definedName>
    <definedName name="FDD_91_12" hidden="1">"A35064"</definedName>
    <definedName name="FDD_91_13" hidden="1">"A35430"</definedName>
    <definedName name="FDD_91_14" hidden="1">"A35795"</definedName>
    <definedName name="FDD_91_2" hidden="1">"A31412"</definedName>
    <definedName name="FDD_91_3" hidden="1">"A31777"</definedName>
    <definedName name="FDD_91_4" hidden="1">"A32142"</definedName>
    <definedName name="FDD_91_5" hidden="1">"A32508"</definedName>
    <definedName name="FDD_91_6" hidden="1">"A32873"</definedName>
    <definedName name="FDD_91_7" hidden="1">"A33238"</definedName>
    <definedName name="FDD_91_8" hidden="1">"A33603"</definedName>
    <definedName name="FDD_91_9" hidden="1">"A33969"</definedName>
    <definedName name="FDD_92_0" hidden="1">"A30681"</definedName>
    <definedName name="FDD_92_1" hidden="1">"A31047"</definedName>
    <definedName name="FDD_92_10" hidden="1">"A34334"</definedName>
    <definedName name="FDD_92_11" hidden="1">"A34699"</definedName>
    <definedName name="FDD_92_12" hidden="1">"A35064"</definedName>
    <definedName name="FDD_92_13" hidden="1">"A35430"</definedName>
    <definedName name="FDD_92_14" hidden="1">"A35795"</definedName>
    <definedName name="FDD_92_2" hidden="1">"A31412"</definedName>
    <definedName name="FDD_92_3" hidden="1">"A31777"</definedName>
    <definedName name="FDD_92_4" hidden="1">"A32142"</definedName>
    <definedName name="FDD_92_5" hidden="1">"A32508"</definedName>
    <definedName name="FDD_92_6" hidden="1">"A32873"</definedName>
    <definedName name="FDD_92_7" hidden="1">"A33238"</definedName>
    <definedName name="FDD_92_8" hidden="1">"A33603"</definedName>
    <definedName name="FDD_92_9" hidden="1">"A33969"</definedName>
    <definedName name="FDD_93_0" hidden="1">"A30681"</definedName>
    <definedName name="FDD_93_1" hidden="1">"A31047"</definedName>
    <definedName name="FDD_93_10" hidden="1">"A34334"</definedName>
    <definedName name="FDD_93_11" hidden="1">"A34699"</definedName>
    <definedName name="FDD_93_12" hidden="1">"A35064"</definedName>
    <definedName name="FDD_93_13" hidden="1">"A35430"</definedName>
    <definedName name="FDD_93_14" hidden="1">"A35795"</definedName>
    <definedName name="FDD_93_2" hidden="1">"A31412"</definedName>
    <definedName name="FDD_93_3" hidden="1">"A31777"</definedName>
    <definedName name="FDD_93_4" hidden="1">"A32142"</definedName>
    <definedName name="FDD_93_5" hidden="1">"A32508"</definedName>
    <definedName name="FDD_93_6" hidden="1">"A32873"</definedName>
    <definedName name="FDD_93_7" hidden="1">"A33238"</definedName>
    <definedName name="FDD_93_8" hidden="1">"A33603"</definedName>
    <definedName name="FDD_93_9" hidden="1">"A33969"</definedName>
    <definedName name="FDD_94_0" hidden="1">"A30681"</definedName>
    <definedName name="FDD_94_1" hidden="1">"A31047"</definedName>
    <definedName name="FDD_94_10" hidden="1">"A34334"</definedName>
    <definedName name="FDD_94_11" hidden="1">"A34699"</definedName>
    <definedName name="FDD_94_12" hidden="1">"A35064"</definedName>
    <definedName name="FDD_94_13" hidden="1">"A35430"</definedName>
    <definedName name="FDD_94_14" hidden="1">"A35795"</definedName>
    <definedName name="FDD_94_2" hidden="1">"A31412"</definedName>
    <definedName name="FDD_94_3" hidden="1">"A31777"</definedName>
    <definedName name="FDD_94_4" hidden="1">"A32142"</definedName>
    <definedName name="FDD_94_5" hidden="1">"A32508"</definedName>
    <definedName name="FDD_94_6" hidden="1">"A32873"</definedName>
    <definedName name="FDD_94_7" hidden="1">"A33238"</definedName>
    <definedName name="FDD_94_8" hidden="1">"A33603"</definedName>
    <definedName name="FDD_94_9" hidden="1">"A33969"</definedName>
    <definedName name="FDD_95_0" hidden="1">"A30681"</definedName>
    <definedName name="FDD_95_1" hidden="1">"A31047"</definedName>
    <definedName name="FDD_95_10" hidden="1">"A34334"</definedName>
    <definedName name="FDD_95_11" hidden="1">"A34699"</definedName>
    <definedName name="FDD_95_12" hidden="1">"A35064"</definedName>
    <definedName name="FDD_95_13" hidden="1">"A35430"</definedName>
    <definedName name="FDD_95_14" hidden="1">"A35795"</definedName>
    <definedName name="FDD_95_2" hidden="1">"A31412"</definedName>
    <definedName name="FDD_95_3" hidden="1">"A31777"</definedName>
    <definedName name="FDD_95_4" hidden="1">"A32142"</definedName>
    <definedName name="FDD_95_5" hidden="1">"A32508"</definedName>
    <definedName name="FDD_95_6" hidden="1">"A32873"</definedName>
    <definedName name="FDD_95_7" hidden="1">"A33238"</definedName>
    <definedName name="FDD_95_8" hidden="1">"A33603"</definedName>
    <definedName name="FDD_95_9" hidden="1">"A33969"</definedName>
    <definedName name="FDD_96_0" hidden="1">"U30681"</definedName>
    <definedName name="FDD_96_1" hidden="1">"A31047"</definedName>
    <definedName name="FDD_96_10" hidden="1">"A34334"</definedName>
    <definedName name="FDD_96_11" hidden="1">"A34699"</definedName>
    <definedName name="FDD_96_12" hidden="1">"A35064"</definedName>
    <definedName name="FDD_96_13" hidden="1">"A35430"</definedName>
    <definedName name="FDD_96_14" hidden="1">"A35795"</definedName>
    <definedName name="FDD_96_2" hidden="1">"A31412"</definedName>
    <definedName name="FDD_96_3" hidden="1">"A31777"</definedName>
    <definedName name="FDD_96_4" hidden="1">"A32142"</definedName>
    <definedName name="FDD_96_5" hidden="1">"A32508"</definedName>
    <definedName name="FDD_96_6" hidden="1">"A32873"</definedName>
    <definedName name="FDD_96_7" hidden="1">"A33238"</definedName>
    <definedName name="FDD_96_8" hidden="1">"A33603"</definedName>
    <definedName name="FDD_96_9" hidden="1">"A33969"</definedName>
    <definedName name="FDD_97_0" hidden="1">"U30681"</definedName>
    <definedName name="FDD_97_1" hidden="1">"A31047"</definedName>
    <definedName name="FDD_97_10" hidden="1">"A34334"</definedName>
    <definedName name="FDD_97_11" hidden="1">"A34699"</definedName>
    <definedName name="FDD_97_12" hidden="1">"A35064"</definedName>
    <definedName name="FDD_97_13" hidden="1">"A35430"</definedName>
    <definedName name="FDD_97_14" hidden="1">"A35795"</definedName>
    <definedName name="FDD_97_2" hidden="1">"A31412"</definedName>
    <definedName name="FDD_97_3" hidden="1">"A31777"</definedName>
    <definedName name="FDD_97_4" hidden="1">"A32142"</definedName>
    <definedName name="FDD_97_5" hidden="1">"A32508"</definedName>
    <definedName name="FDD_97_6" hidden="1">"A32873"</definedName>
    <definedName name="FDD_97_7" hidden="1">"A33238"</definedName>
    <definedName name="FDD_97_8" hidden="1">"A33603"</definedName>
    <definedName name="FDD_97_9" hidden="1">"A33969"</definedName>
    <definedName name="FDD_98_0" hidden="1">"U30681"</definedName>
    <definedName name="FDD_98_1" hidden="1">"A31047"</definedName>
    <definedName name="FDD_98_10" hidden="1">"A34334"</definedName>
    <definedName name="FDD_98_11" hidden="1">"A34699"</definedName>
    <definedName name="FDD_98_12" hidden="1">"A35064"</definedName>
    <definedName name="FDD_98_13" hidden="1">"A35430"</definedName>
    <definedName name="FDD_98_14" hidden="1">"A35795"</definedName>
    <definedName name="FDD_98_2" hidden="1">"A31412"</definedName>
    <definedName name="FDD_98_3" hidden="1">"A31777"</definedName>
    <definedName name="FDD_98_4" hidden="1">"A32142"</definedName>
    <definedName name="FDD_98_5" hidden="1">"A32508"</definedName>
    <definedName name="FDD_98_6" hidden="1">"A32873"</definedName>
    <definedName name="FDD_98_7" hidden="1">"A33238"</definedName>
    <definedName name="FDD_98_8" hidden="1">"A33603"</definedName>
    <definedName name="FDD_98_9" hidden="1">"A33969"</definedName>
    <definedName name="FDD_99_0" hidden="1">"U30681"</definedName>
    <definedName name="FDD_99_1" hidden="1">"A31047"</definedName>
    <definedName name="FDD_99_10" hidden="1">"A34334"</definedName>
    <definedName name="FDD_99_11" hidden="1">"A34699"</definedName>
    <definedName name="FDD_99_12" hidden="1">"A35064"</definedName>
    <definedName name="FDD_99_13" hidden="1">"A35430"</definedName>
    <definedName name="FDD_99_14" hidden="1">"A35795"</definedName>
    <definedName name="FDD_99_2" hidden="1">"A31412"</definedName>
    <definedName name="FDD_99_3" hidden="1">"A31777"</definedName>
    <definedName name="FDD_99_4" hidden="1">"A32142"</definedName>
    <definedName name="FDD_99_5" hidden="1">"A32508"</definedName>
    <definedName name="FDD_99_6" hidden="1">"A32873"</definedName>
    <definedName name="FDD_99_7" hidden="1">"A33238"</definedName>
    <definedName name="FDD_99_8" hidden="1">"A33603"</definedName>
    <definedName name="FDD_99_9" hidden="1">"A33969"</definedName>
    <definedName name="FDFDSFDS">recuperação #REF!</definedName>
    <definedName name="fdfsfdsf">#REF!</definedName>
    <definedName name="fdg">#REF!</definedName>
    <definedName name="fdgaf" localSheetId="27" hidden="1">{#N/A,#N/A,FALSE,"Plan1";#N/A,#N/A,FALSE,"Plan2"}</definedName>
    <definedName name="fdgaf" localSheetId="0" hidden="1">{#N/A,#N/A,FALSE,"Plan1";#N/A,#N/A,FALSE,"Plan2"}</definedName>
    <definedName name="fdgaf" hidden="1">{#N/A,#N/A,FALSE,"Plan1";#N/A,#N/A,FALSE,"Plan2"}</definedName>
    <definedName name="fdhgfdf" localSheetId="27" hidden="1">{#N/A,#N/A,FALSE,"Plan1";#N/A,#N/A,FALSE,"Plan2"}</definedName>
    <definedName name="fdhgfdf" localSheetId="0" hidden="1">{#N/A,#N/A,FALSE,"Plan1";#N/A,#N/A,FALSE,"Plan2"}</definedName>
    <definedName name="fdhgfdf" hidden="1">{#N/A,#N/A,FALSE,"Plan1";#N/A,#N/A,FALSE,"Plan2"}</definedName>
    <definedName name="FDP_280_1_aSrv" hidden="1">#REF!</definedName>
    <definedName name="FDP_281_1_aSrv" hidden="1">#REF!</definedName>
    <definedName name="FDP_282_1_aSrv" hidden="1">#REF!</definedName>
    <definedName name="FDP_283_1_aSrv" hidden="1">#REF!</definedName>
    <definedName name="FDS" localSheetId="27" hidden="1">{#N/A,#N/A,FALSE,"Plan1";#N/A,#N/A,FALSE,"Plan2"}</definedName>
    <definedName name="FDS" localSheetId="0" hidden="1">{#N/A,#N/A,FALSE,"Plan1";#N/A,#N/A,FALSE,"Plan2"}</definedName>
    <definedName name="FDS" hidden="1">{#N/A,#N/A,FALSE,"Plan1";#N/A,#N/A,FALSE,"Plan2"}</definedName>
    <definedName name="fdsa">#REF!</definedName>
    <definedName name="fdsafdas" localSheetId="27" hidden="1">#REF!</definedName>
    <definedName name="fdsafdas" localSheetId="0" hidden="1">#REF!</definedName>
    <definedName name="fdsafdas" hidden="1">#REF!</definedName>
    <definedName name="fdsafdasfds" localSheetId="27" hidden="1">#REF!</definedName>
    <definedName name="fdsafdasfds" localSheetId="0" hidden="1">#REF!</definedName>
    <definedName name="fdsafdasfds" hidden="1">#REF!</definedName>
    <definedName name="fdsafdfdasf" localSheetId="27" hidden="1">#REF!</definedName>
    <definedName name="fdsafdfdasf" localSheetId="0" hidden="1">#REF!</definedName>
    <definedName name="fdsafdfdasf" hidden="1">#REF!</definedName>
    <definedName name="fdsafdfdsa" localSheetId="0" hidden="1">#REF!</definedName>
    <definedName name="fdsafdfdsa" hidden="1">#REF!</definedName>
    <definedName name="fdsafdfsa" localSheetId="0" hidden="1">#REF!</definedName>
    <definedName name="fdsafdfsa" hidden="1">#REF!</definedName>
    <definedName name="fdsafdsa" localSheetId="0" hidden="1">#REF!</definedName>
    <definedName name="fdsafdsa" hidden="1">#REF!</definedName>
    <definedName name="fdsafdsafdsa" localSheetId="0" hidden="1">#REF!</definedName>
    <definedName name="fdsafdsafdsa" hidden="1">#REF!</definedName>
    <definedName name="fdsafdsafdsafds" localSheetId="0" hidden="1">#REF!</definedName>
    <definedName name="fdsafdsafdsafds" hidden="1">#REF!</definedName>
    <definedName name="fdsafdsafsdaf" localSheetId="0" hidden="1">#REF!</definedName>
    <definedName name="fdsafdsafsdaf" hidden="1">#REF!</definedName>
    <definedName name="fdsafdsfdsa" localSheetId="0" hidden="1">#REF!</definedName>
    <definedName name="fdsafdsfdsa" hidden="1">#REF!</definedName>
    <definedName name="fdsafdsffds" localSheetId="0" hidden="1">#REF!</definedName>
    <definedName name="fdsafdsffds" hidden="1">#REF!</definedName>
    <definedName name="fdsafsafsa" localSheetId="0" hidden="1">#REF!</definedName>
    <definedName name="fdsafsafsa" hidden="1">#REF!</definedName>
    <definedName name="fdsafsdafasdf" localSheetId="0" hidden="1">#REF!</definedName>
    <definedName name="fdsafsdafasdf" hidden="1">#REF!</definedName>
    <definedName name="fdsafsdfdsa" localSheetId="0" hidden="1">#REF!</definedName>
    <definedName name="fdsafsdfdsa" hidden="1">#REF!</definedName>
    <definedName name="fdsfsdafd" localSheetId="0" hidden="1">#REF!</definedName>
    <definedName name="fdsfsdafd" hidden="1">#REF!</definedName>
    <definedName name="Feriados">#REF!</definedName>
    <definedName name="Feriados_Brasil" localSheetId="27">#REF!</definedName>
    <definedName name="Feriados_Brasil">#REF!</definedName>
    <definedName name="FEV" localSheetId="27">#REF!</definedName>
    <definedName name="FEV">#REF!</definedName>
    <definedName name="ff">#REF!</definedName>
    <definedName name="fff" localSheetId="27" hidden="1">#REF!</definedName>
    <definedName name="fff" localSheetId="0" hidden="1">#REF!</definedName>
    <definedName name="fff" hidden="1">#REF!</definedName>
    <definedName name="fffff" localSheetId="27" hidden="1">{#N/A,#N/A,FALSE,"Plan1";#N/A,#N/A,FALSE,"Plan2"}</definedName>
    <definedName name="fffff" localSheetId="0" hidden="1">{#N/A,#N/A,FALSE,"Plan1";#N/A,#N/A,FALSE,"Plan2"}</definedName>
    <definedName name="fffff" hidden="1">{#N/A,#N/A,FALSE,"Plan1";#N/A,#N/A,FALSE,"Plan2"}</definedName>
    <definedName name="fffffffffffffffffffffff">#REF!</definedName>
    <definedName name="FG" localSheetId="27" hidden="1">{#N/A,#N/A,FALSE,"Plan1";#N/A,#N/A,FALSE,"Plan2"}</definedName>
    <definedName name="FG" localSheetId="0" hidden="1">{#N/A,#N/A,FALSE,"Plan1";#N/A,#N/A,FALSE,"Plan2"}</definedName>
    <definedName name="FG" hidden="1">{#N/A,#N/A,FALSE,"Plan1";#N/A,#N/A,FALSE,"Plan2"}</definedName>
    <definedName name="fgdsag">#N/A</definedName>
    <definedName name="fgfg" hidden="1">{#N/A,#N/A,FALSE,"GERAL";#N/A,#N/A,FALSE,"LOCAÇÃO";#N/A,#N/A,FALSE,"FRETAMENTO";#N/A,#N/A,FALSE,"CARRETAS"}</definedName>
    <definedName name="FGFGF" localSheetId="27" hidden="1">{#N/A,#N/A,FALSE,"Aging Summary";#N/A,#N/A,FALSE,"Ratio Analysis";#N/A,#N/A,FALSE,"Test 120 Day Accts";#N/A,#N/A,FALSE,"Tickmarks"}</definedName>
    <definedName name="FGFGF" localSheetId="0" hidden="1">{#N/A,#N/A,FALSE,"Aging Summary";#N/A,#N/A,FALSE,"Ratio Analysis";#N/A,#N/A,FALSE,"Test 120 Day Accts";#N/A,#N/A,FALSE,"Tickmarks"}</definedName>
    <definedName name="FGFGF" hidden="1">{#N/A,#N/A,FALSE,"Aging Summary";#N/A,#N/A,FALSE,"Ratio Analysis";#N/A,#N/A,FALSE,"Test 120 Day Accts";#N/A,#N/A,FALSE,"Tickmarks"}</definedName>
    <definedName name="FGJHFGK" localSheetId="27" hidden="1">{#N/A,#N/A,FALSE,"Plan1";#N/A,#N/A,FALSE,"Plan2"}</definedName>
    <definedName name="FGJHFGK" localSheetId="0" hidden="1">{#N/A,#N/A,FALSE,"Plan1";#N/A,#N/A,FALSE,"Plan2"}</definedName>
    <definedName name="FGJHFGK" hidden="1">{#N/A,#N/A,FALSE,"Plan1";#N/A,#N/A,FALSE,"Plan2"}</definedName>
    <definedName name="FGTS">#REF!</definedName>
    <definedName name="fin" localSheetId="27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fin" localSheetId="0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fin" localSheetId="26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fin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fin_1617" localSheetId="27">#REF!</definedName>
    <definedName name="fin_1617">#REF!</definedName>
    <definedName name="Final_Summary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Financ.Resumen" localSheetId="27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Financ.Resumen" localSheetId="0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Financ.Resumen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financeiros">#REF!</definedName>
    <definedName name="financeiros1">#REF!</definedName>
    <definedName name="Financiamento">#REF!</definedName>
    <definedName name="Finos_9a16">#REF!</definedName>
    <definedName name="Finos_ano">#REF!</definedName>
    <definedName name="Finos_mês">#REF!</definedName>
    <definedName name="FJGHJ" localSheetId="27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FJGHJ" localSheetId="0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FJGHJ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FJHJHG" localSheetId="27" hidden="1">{#N/A,#N/A,FALSE,"Plan1";#N/A,#N/A,FALSE,"Plan2"}</definedName>
    <definedName name="FJHJHG" localSheetId="0" hidden="1">{#N/A,#N/A,FALSE,"Plan1";#N/A,#N/A,FALSE,"Plan2"}</definedName>
    <definedName name="FJHJHG" hidden="1">{#N/A,#N/A,FALSE,"Plan1";#N/A,#N/A,FALSE,"Plan2"}</definedName>
    <definedName name="FL" localSheetId="27">#REF!</definedName>
    <definedName name="FL">#REF!</definedName>
    <definedName name="FluCai00" localSheetId="27">#REF!</definedName>
    <definedName name="FluCai00">#REF!</definedName>
    <definedName name="FluCai01" localSheetId="27">#REF!</definedName>
    <definedName name="FluCai01">#REF!</definedName>
    <definedName name="fluxo_cs_sem_alav_11">#REF!</definedName>
    <definedName name="FLUXO_RCA130203">#REF!</definedName>
    <definedName name="FM">#REF!</definedName>
    <definedName name="Focal_Email">#REF!</definedName>
    <definedName name="Focal_Point">#REF!</definedName>
    <definedName name="Folha38">#REF!</definedName>
    <definedName name="Folha39">#REF!</definedName>
    <definedName name="fonte">#REF!</definedName>
    <definedName name="Fontes_de_Financiamento">#REF!</definedName>
    <definedName name="Forecast" localSheetId="27">#REF!</definedName>
    <definedName name="Forecast">#REF!</definedName>
    <definedName name="form">#REF!</definedName>
    <definedName name="forn" localSheetId="27" hidden="1">{#N/A,#N/A,FALSE,"Aging Summary";#N/A,#N/A,FALSE,"Ratio Analysis";#N/A,#N/A,FALSE,"Test 120 Day Accts";#N/A,#N/A,FALSE,"Tickmarks"}</definedName>
    <definedName name="forn" localSheetId="0" hidden="1">{#N/A,#N/A,FALSE,"Aging Summary";#N/A,#N/A,FALSE,"Ratio Analysis";#N/A,#N/A,FALSE,"Test 120 Day Accts";#N/A,#N/A,FALSE,"Tickmarks"}</definedName>
    <definedName name="forn" hidden="1">{#N/A,#N/A,FALSE,"Aging Summary";#N/A,#N/A,FALSE,"Ratio Analysis";#N/A,#N/A,FALSE,"Test 120 Day Accts";#N/A,#N/A,FALSE,"Tickmarks"}</definedName>
    <definedName name="fr">#REF!</definedName>
    <definedName name="frfer" localSheetId="27" hidden="1">#REF!</definedName>
    <definedName name="frfer" localSheetId="0" hidden="1">#REF!</definedName>
    <definedName name="frfer" hidden="1">#REF!</definedName>
    <definedName name="FS_Cap_Employed_High">#REF!</definedName>
    <definedName name="FS_Cap_Employed_LE02_High">#REF!</definedName>
    <definedName name="FS_Cap_Employed_LE02_LNG">#REF!</definedName>
    <definedName name="FS_Cap_Employed_LE02_Low">#REF!</definedName>
    <definedName name="FS_Cap_Employed_LE02_Spare">#REF!</definedName>
    <definedName name="FS_Cap_Employed_LNG">#REF!</definedName>
    <definedName name="FS_Cap_Employed_Low">#REF!</definedName>
    <definedName name="FS_Cap_Employed_Spare">#REF!</definedName>
    <definedName name="FS_Cap_Exp_HIgh">#REF!</definedName>
    <definedName name="FS_Cap_Exp_LE02_High">#REF!</definedName>
    <definedName name="FS_Cap_Exp_LE02_LNG">#REF!</definedName>
    <definedName name="FS_Cap_Exp_LE02_Low">#REF!</definedName>
    <definedName name="FS_Cap_Exp_LE02_Spare">#REF!</definedName>
    <definedName name="FS_Cap_Exp_LNG">#REF!</definedName>
    <definedName name="FS_Cap_Exp_Low">#REF!</definedName>
    <definedName name="FS_Cap_Exp_Spare">#REF!</definedName>
    <definedName name="FS_Capital_Employ_High">#REF!</definedName>
    <definedName name="FS_Capital_Employ_LE02_High">#REF!</definedName>
    <definedName name="FS_Capital_Employ_LE02_LNG">#REF!</definedName>
    <definedName name="FS_Capital_Employ_LE02_Low">#REF!</definedName>
    <definedName name="FS_Capital_Employ_LE02_Spare">#REF!</definedName>
    <definedName name="FS_Capital_Employ_LNG">#REF!</definedName>
    <definedName name="FS_Capital_Employ_Low">#REF!</definedName>
    <definedName name="FS_Capital_Employ_Spare">#REF!</definedName>
    <definedName name="FS_Cash_High">#REF!</definedName>
    <definedName name="FS_Cash_LE02_High">#REF!</definedName>
    <definedName name="FS_Cash_LE02_LNG">#REF!</definedName>
    <definedName name="FS_Cash_LE02_Low">#REF!</definedName>
    <definedName name="FS_Cash_LE02_Spare">#REF!</definedName>
    <definedName name="FS_Cash_LNG">#REF!</definedName>
    <definedName name="FS_Cash_Low">#REF!</definedName>
    <definedName name="FS_Cash_Spare">#REF!</definedName>
    <definedName name="FS_Cash2_High">#REF!</definedName>
    <definedName name="FS_Cash2_LE02_High">#REF!</definedName>
    <definedName name="FS_Cash2_LE02_LNG">#REF!</definedName>
    <definedName name="FS_Cash2_LE02_Low">#REF!</definedName>
    <definedName name="FS_Cash2_LE02_Spare">#REF!</definedName>
    <definedName name="FS_Cash2_LNG">#REF!</definedName>
    <definedName name="FS_Cash2_Low">#REF!</definedName>
    <definedName name="FS_Cash2_Spare">#REF!</definedName>
    <definedName name="FS_CCTD_High">#REF!</definedName>
    <definedName name="FS_CCTD_LE02_High">#REF!</definedName>
    <definedName name="FS_CCTD_LE02_LNG">#REF!</definedName>
    <definedName name="FS_CCTD_LE02_Low">#REF!</definedName>
    <definedName name="FS_CCTD_LE02_Spare">#REF!</definedName>
    <definedName name="FS_CCTD_LNG">#REF!</definedName>
    <definedName name="FS_CCTD_Low">#REF!</definedName>
    <definedName name="FS_CCTD_Spare">#REF!</definedName>
    <definedName name="FS_CCTD2_High">#REF!</definedName>
    <definedName name="FS_CCTD2_LE02_High">#REF!</definedName>
    <definedName name="FS_CCTD2_LE02_LNG">#REF!</definedName>
    <definedName name="FS_CCTD2_LE02_Low">#REF!</definedName>
    <definedName name="FS_CCTD2_LE02_Spare">#REF!</definedName>
    <definedName name="FS_CCTD2_LNG">#REF!</definedName>
    <definedName name="FS_CCTD2_Low">#REF!</definedName>
    <definedName name="FS_CCTD2_Spare">#REF!</definedName>
    <definedName name="FS_Curr_Tax_High">#REF!</definedName>
    <definedName name="FS_Curr_Tax_LE02_High">#REF!</definedName>
    <definedName name="FS_Curr_Tax_LE02_LNG">#REF!</definedName>
    <definedName name="FS_Curr_Tax_LE02_Low">#REF!</definedName>
    <definedName name="FS_Curr_Tax_LE02_Spare">#REF!</definedName>
    <definedName name="FS_Curr_Tax_LNG">#REF!</definedName>
    <definedName name="FS_Curr_Tax_Low">#REF!</definedName>
    <definedName name="FS_Curr_Tax_Spare">#REF!</definedName>
    <definedName name="FS_Current_Tax_High">#REF!</definedName>
    <definedName name="FS_Current_Tax_LE02_High">#REF!</definedName>
    <definedName name="FS_Current_Tax_LE02_LNG">#REF!</definedName>
    <definedName name="FS_Current_Tax_LE02_Low">#REF!</definedName>
    <definedName name="FS_Current_Tax_LE02_Spare">#REF!</definedName>
    <definedName name="FS_Current_Tax_LNG">#REF!</definedName>
    <definedName name="FS_Current_Tax_Low">#REF!</definedName>
    <definedName name="FS_Current_Tax_Spare">#REF!</definedName>
    <definedName name="FS_Def_Tax_High">#REF!</definedName>
    <definedName name="FS_Def_Tax_LE02_High">#REF!</definedName>
    <definedName name="FS_Def_Tax_LE02_LNG">#REF!</definedName>
    <definedName name="FS_Def_Tax_LE02_Low">#REF!</definedName>
    <definedName name="FS_Def_Tax_LE02_Spare">#REF!</definedName>
    <definedName name="FS_Def_Tax_LNG">#REF!</definedName>
    <definedName name="FS_Def_Tax_Low">#REF!</definedName>
    <definedName name="FS_Def_Tax_Spare">#REF!</definedName>
    <definedName name="FS_Deferred_Tax_High">#REF!</definedName>
    <definedName name="FS_Deferred_Tax_LE02_High">#REF!</definedName>
    <definedName name="FS_Deferred_Tax_LE02_LNG">#REF!</definedName>
    <definedName name="FS_Deferred_Tax_LE02_Low">#REF!</definedName>
    <definedName name="FS_Deferred_Tax_LE02_Spare">#REF!</definedName>
    <definedName name="FS_Deferred_Tax_LNG">#REF!</definedName>
    <definedName name="FS_Deferred_Tax_Low">#REF!</definedName>
    <definedName name="FS_Deferred_Tax_Spare">#REF!</definedName>
    <definedName name="FS_Depr_COS_High">#REF!</definedName>
    <definedName name="FS_Depr_COS_LE02_High">#REF!</definedName>
    <definedName name="FS_Depr_COS_LE02_LNG">#REF!</definedName>
    <definedName name="FS_Depr_COS_LE02_Low">#REF!</definedName>
    <definedName name="FS_Depr_COS_LE02_Spare">#REF!</definedName>
    <definedName name="FS_Depr_COS_LNG">#REF!</definedName>
    <definedName name="FS_Depr_COS_Low">#REF!</definedName>
    <definedName name="FS_Depr_COS_Spare">#REF!</definedName>
    <definedName name="FS_Depr_High">#REF!</definedName>
    <definedName name="FS_Depr_LE02_High">#REF!</definedName>
    <definedName name="FS_Depr_LE02_LNG">#REF!</definedName>
    <definedName name="FS_Depr_LE02_Low">#REF!</definedName>
    <definedName name="FS_Depr_LE02_Spare">#REF!</definedName>
    <definedName name="FS_Depr_LNG">#REF!</definedName>
    <definedName name="FS_Depr_Low">#REF!</definedName>
    <definedName name="FS_Depr_SDA_High">#REF!</definedName>
    <definedName name="FS_Depr_SDA_LE02_High">#REF!</definedName>
    <definedName name="FS_Depr_SDA_LE02_LNG">#REF!</definedName>
    <definedName name="FS_Depr_SDA_LE02_Low">#REF!</definedName>
    <definedName name="FS_Depr_SDA_LE02_Spare">#REF!</definedName>
    <definedName name="FS_Depr_SDA_LNG">#REF!</definedName>
    <definedName name="FS_Depr_SDA_Low">#REF!</definedName>
    <definedName name="FS_Depr_SDA_Spare">#REF!</definedName>
    <definedName name="FS_Depr_Spare">#REF!</definedName>
    <definedName name="FS_Equity_High">#REF!</definedName>
    <definedName name="FS_Equity_Invest_High">#REF!</definedName>
    <definedName name="FS_Equity_Invest_LE02_High">#REF!</definedName>
    <definedName name="FS_Equity_Invest_LE02_LNG">#REF!</definedName>
    <definedName name="FS_Equity_Invest_LE02_Low">#REF!</definedName>
    <definedName name="FS_Equity_Invest_LE02_Spare">#REF!</definedName>
    <definedName name="FS_Equity_Invest_LNG">#REF!</definedName>
    <definedName name="FS_Equity_Invest_Low">#REF!</definedName>
    <definedName name="FS_Equity_Invest_Spare">#REF!</definedName>
    <definedName name="FS_Equity_Investments_High">#REF!</definedName>
    <definedName name="FS_Equity_Investments_LE02_High">#REF!</definedName>
    <definedName name="FS_Equity_Investments_LE02_LNG">#REF!</definedName>
    <definedName name="FS_Equity_Investments_LE02_Low">#REF!</definedName>
    <definedName name="FS_Equity_Investments_LE02_Spare">#REF!</definedName>
    <definedName name="FS_Equity_Investments_LNG">#REF!</definedName>
    <definedName name="FS_Equity_Investments_Low">#REF!</definedName>
    <definedName name="FS_Equity_Investments_Spare">#REF!</definedName>
    <definedName name="FS_Equity_LE02_High">#REF!</definedName>
    <definedName name="FS_Equity_LE02_LNG">#REF!</definedName>
    <definedName name="FS_Equity_LE02_Low">#REF!</definedName>
    <definedName name="FS_Equity_LE02_Spare">#REF!</definedName>
    <definedName name="FS_Equity_LNG">#REF!</definedName>
    <definedName name="FS_Equity_Low">#REF!</definedName>
    <definedName name="FS_Equity_Spare">#REF!</definedName>
    <definedName name="FS_Equity2_High">#REF!</definedName>
    <definedName name="FS_Equity2_LE02_High">#REF!</definedName>
    <definedName name="FS_Equity2_LE02_LNG">#REF!</definedName>
    <definedName name="FS_Equity2_LE02_Low">#REF!</definedName>
    <definedName name="FS_Equity2_LE02_Spare">#REF!</definedName>
    <definedName name="FS_Equity2_LNG">#REF!</definedName>
    <definedName name="FS_Equity2_Low">#REF!</definedName>
    <definedName name="FS_Equity2_Spare">#REF!</definedName>
    <definedName name="FS_Explore_Expense_High">#REF!</definedName>
    <definedName name="FS_Explore_Expense_LE02_High">#REF!</definedName>
    <definedName name="FS_Explore_Expense_LE02_LNG">#REF!</definedName>
    <definedName name="FS_Explore_Expense_LE02_Low">#REF!</definedName>
    <definedName name="FS_Explore_Expense_LE02_Spare">#REF!</definedName>
    <definedName name="FS_Explore_Expense_LNG">#REF!</definedName>
    <definedName name="FS_Explore_Expense_Low">#REF!</definedName>
    <definedName name="FS_Explore_Expense_Spare">#REF!</definedName>
    <definedName name="FS_Fix_Assets_HIgh">#REF!</definedName>
    <definedName name="FS_Fix_Assets_LE02_High">#REF!</definedName>
    <definedName name="FS_Fix_Assets_LE02_LNG">#REF!</definedName>
    <definedName name="FS_Fix_Assets_LE02_Low">#REF!</definedName>
    <definedName name="FS_Fix_Assets_LE02_Spare">#REF!</definedName>
    <definedName name="FS_Fix_Assets_LNG">#REF!</definedName>
    <definedName name="FS_Fix_Assets_Low">#REF!</definedName>
    <definedName name="FS_Fix_Assets_Spare">#REF!</definedName>
    <definedName name="FS_Fixed_Assets_High">#REF!</definedName>
    <definedName name="FS_Fixed_Assets_LE02_High">#REF!</definedName>
    <definedName name="FS_Fixed_Assets_LE02_LNG">#REF!</definedName>
    <definedName name="FS_Fixed_Assets_LE02_Low">#REF!</definedName>
    <definedName name="FS_Fixed_Assets_LE02_Spare">#REF!</definedName>
    <definedName name="FS_Fixed_Assets_LNG">#REF!</definedName>
    <definedName name="FS_Fixed_Assets_Low">#REF!</definedName>
    <definedName name="FS_Fixed_Assets_Spare">#REF!</definedName>
    <definedName name="FS_Free_Cash_Flows_High">#REF!</definedName>
    <definedName name="FS_Free_Cash_Flows_LE02_High">#REF!</definedName>
    <definedName name="FS_Free_Cash_Flows_LE02_LNG">#REF!</definedName>
    <definedName name="FS_Free_Cash_Flows_LE02_Low">#REF!</definedName>
    <definedName name="FS_Free_Cash_Flows_LE02_Spare">#REF!</definedName>
    <definedName name="FS_Free_Cash_Flows_LNG">#REF!</definedName>
    <definedName name="FS_Free_Cash_Flows_Low">#REF!</definedName>
    <definedName name="FS_Free_Cash_Flows_Spare">#REF!</definedName>
    <definedName name="FS_Gross_Profit_High">#REF!</definedName>
    <definedName name="FS_Gross_Profit_LE02_High">#REF!</definedName>
    <definedName name="FS_Gross_Profit_LE02_LNG">#REF!</definedName>
    <definedName name="FS_Gross_Profit_LE02_Low">#REF!</definedName>
    <definedName name="FS_Gross_Profit_LE02_Spare">#REF!</definedName>
    <definedName name="FS_Gross_Profit_LNG">#REF!</definedName>
    <definedName name="FS_Gross_Profit_Low">#REF!</definedName>
    <definedName name="FS_Gross_Profit_Spare">#REF!</definedName>
    <definedName name="FS_Income_B4_Tax_High">#REF!</definedName>
    <definedName name="FS_Income_B4_Tax_LE02_High">#REF!</definedName>
    <definedName name="FS_Income_B4_Tax_LE02_LNG">#REF!</definedName>
    <definedName name="FS_Income_B4_Tax_LE02_Low">#REF!</definedName>
    <definedName name="FS_Income_B4_Tax_LE02_Spare">#REF!</definedName>
    <definedName name="FS_Income_B4_Tax_LNG">#REF!</definedName>
    <definedName name="FS_Income_B4_Tax_Low">#REF!</definedName>
    <definedName name="FS_Income_B4_Tax_Spare">#REF!</definedName>
    <definedName name="FS_Int_bear_debt_High">#REF!</definedName>
    <definedName name="FS_Int_bear_debt_LE02_High">#REF!</definedName>
    <definedName name="FS_Int_bear_debt_LE02_LNG">#REF!</definedName>
    <definedName name="FS_Int_bear_debt_LE02_Low">#REF!</definedName>
    <definedName name="FS_Int_bear_debt_LE02_Spare">#REF!</definedName>
    <definedName name="FS_Int_bear_debt_LNG">#REF!</definedName>
    <definedName name="FS_Int_bear_debt_Low">#REF!</definedName>
    <definedName name="FS_Int_bear_debt_Spare">#REF!</definedName>
    <definedName name="FS_Int_Exp_High">#REF!</definedName>
    <definedName name="FS_Int_Exp_LE02_High">#REF!</definedName>
    <definedName name="FS_Int_Exp_LE02_LNG">#REF!</definedName>
    <definedName name="FS_Int_Exp_LE02_Low">#REF!</definedName>
    <definedName name="FS_Int_Exp_LE02_Spare">#REF!</definedName>
    <definedName name="FS_Int_Exp_LNG">#REF!</definedName>
    <definedName name="FS_Int_Exp_Low">#REF!</definedName>
    <definedName name="FS_Int_Exp_Spare">#REF!</definedName>
    <definedName name="FS_Int_Expense_High">#REF!</definedName>
    <definedName name="FS_Int_Expense_LE02_High">#REF!</definedName>
    <definedName name="FS_Int_Expense_LE02_LNG">#REF!</definedName>
    <definedName name="FS_Int_Expense_LE02_Low">#REF!</definedName>
    <definedName name="FS_Int_Expense_LE02_Spare">#REF!</definedName>
    <definedName name="FS_Int_Expense_LNG">#REF!</definedName>
    <definedName name="FS_Int_Expense_Low">#REF!</definedName>
    <definedName name="FS_Int_Expense_Spare">#REF!</definedName>
    <definedName name="FS_Int_Income_High">#REF!</definedName>
    <definedName name="FS_Int_Income_LE02_High">#REF!</definedName>
    <definedName name="FS_Int_Income_LE02_LNG">#REF!</definedName>
    <definedName name="FS_Int_Income_LE02_Low">#REF!</definedName>
    <definedName name="FS_Int_Income_LE02_Spare">#REF!</definedName>
    <definedName name="FS_Int_Income_LNG">#REF!</definedName>
    <definedName name="FS_Int_Income_Low">#REF!</definedName>
    <definedName name="FS_Int_Income_Spare">#REF!</definedName>
    <definedName name="FS_Interest_bearing_debt_High">#REF!</definedName>
    <definedName name="FS_Interest_bearing_debt_LE02_High">#REF!</definedName>
    <definedName name="FS_Interest_bearing_debt_LE02_LNG">#REF!</definedName>
    <definedName name="FS_Interest_bearing_debt_LE02_Low">#REF!</definedName>
    <definedName name="FS_Interest_bearing_debt_LE02_Spare">#REF!</definedName>
    <definedName name="FS_Interest_bearing_debt_LNG">#REF!</definedName>
    <definedName name="FS_Interest_bearing_debt_Low">#REF!</definedName>
    <definedName name="FS_Interest_bearing_debt_Spare">#REF!</definedName>
    <definedName name="FS_Interest_Income_High">#REF!</definedName>
    <definedName name="FS_Interest_Income_LE02_High">#REF!</definedName>
    <definedName name="FS_Interest_Income_LE02_LNG">#REF!</definedName>
    <definedName name="FS_Interest_Income_LE02_Low">#REF!</definedName>
    <definedName name="FS_Interest_Income_LE02_Spare">#REF!</definedName>
    <definedName name="FS_Interest_Income_LNG">#REF!</definedName>
    <definedName name="FS_Interest_Income_Low">#REF!</definedName>
    <definedName name="FS_Interest_Income_Spare">#REF!</definedName>
    <definedName name="FS_Loans_to_Assoc_High">#REF!</definedName>
    <definedName name="FS_Loans_to_Assoc_LE02_High">#REF!</definedName>
    <definedName name="FS_Loans_to_Assoc_LE02_LNG">#REF!</definedName>
    <definedName name="FS_Loans_to_Assoc_LE02_Low">#REF!</definedName>
    <definedName name="FS_Loans_to_Assoc_LE02_Spare">#REF!</definedName>
    <definedName name="FS_Loans_to_Assoc_LNG">#REF!</definedName>
    <definedName name="FS_Loans_to_Assoc_Low">#REF!</definedName>
    <definedName name="FS_Loans_to_Assoc_Spare">#REF!</definedName>
    <definedName name="FS_Man_Ex_High">#REF!</definedName>
    <definedName name="FS_Man_Ex_LE02_High">#REF!</definedName>
    <definedName name="FS_Man_Ex_LE02_LNG">#REF!</definedName>
    <definedName name="FS_Man_Ex_LE02_Low">#REF!</definedName>
    <definedName name="FS_Man_Ex_LE02_Spare">#REF!</definedName>
    <definedName name="FS_Man_Ex_LNG">#REF!</definedName>
    <definedName name="FS_Man_Ex_Low">#REF!</definedName>
    <definedName name="FS_Man_Ex_Spare">#REF!</definedName>
    <definedName name="FS_Man_Exp_High">#REF!</definedName>
    <definedName name="FS_Man_Exp_LE02_High">#REF!</definedName>
    <definedName name="FS_Man_Exp_LE02_LNG">#REF!</definedName>
    <definedName name="FS_Man_Exp_LE02_Low">#REF!</definedName>
    <definedName name="FS_Man_Exp_LE02_Spare">#REF!</definedName>
    <definedName name="FS_Man_Exp_LNG">#REF!</definedName>
    <definedName name="FS_Man_Exp_Low">#REF!</definedName>
    <definedName name="FS_Man_Exp_Spare">#REF!</definedName>
    <definedName name="FS_Man_Fee_High">#REF!</definedName>
    <definedName name="FS_Man_Fee_LE02_High">#REF!</definedName>
    <definedName name="FS_Man_Fee_LE02_LNG">#REF!</definedName>
    <definedName name="FS_Man_Fee_LE02_Low">#REF!</definedName>
    <definedName name="FS_Man_Fee_LE02_Spare">#REF!</definedName>
    <definedName name="FS_Man_Fee_LNG">#REF!</definedName>
    <definedName name="FS_Man_Fee_Low">#REF!</definedName>
    <definedName name="FS_Man_Fee_Spare">#REF!</definedName>
    <definedName name="FS_Man_Proc_Fees_High">#REF!</definedName>
    <definedName name="FS_Man_Proc_Fees_LE02_High">#REF!</definedName>
    <definedName name="FS_Man_Proc_Fees_LE02_LNG">#REF!</definedName>
    <definedName name="FS_Man_Proc_Fees_LE02_Low">#REF!</definedName>
    <definedName name="FS_Man_Proc_Fees_LE02_Spare">#REF!</definedName>
    <definedName name="FS_Man_Proc_Fees_LNG">#REF!</definedName>
    <definedName name="FS_Man_Proc_Fees_Low">#REF!</definedName>
    <definedName name="FS_Man_Proc_Fees_Spare">#REF!</definedName>
    <definedName name="FS_Minorities_High">#REF!</definedName>
    <definedName name="FS_Minorities_LE02_High">#REF!</definedName>
    <definedName name="FS_Minorities_LE02_LNG">#REF!</definedName>
    <definedName name="FS_Minorities_LE02_Low">#REF!</definedName>
    <definedName name="FS_Minorities_LE02_Spare">#REF!</definedName>
    <definedName name="FS_Minorities_LNG">#REF!</definedName>
    <definedName name="FS_Minorities_Low">#REF!</definedName>
    <definedName name="FS_Minorities_Spare">#REF!</definedName>
    <definedName name="FS_Minorities2_High">#REF!</definedName>
    <definedName name="FS_Minorities2_LE02_High">#REF!</definedName>
    <definedName name="FS_Minorities2_LE02_LNG">#REF!</definedName>
    <definedName name="FS_Minorities2_LE02_Low">#REF!</definedName>
    <definedName name="FS_Minorities2_LE02_Spare">#REF!</definedName>
    <definedName name="FS_Minorities2_LNG">#REF!</definedName>
    <definedName name="FS_Minorities2_Low">#REF!</definedName>
    <definedName name="FS_Minorities2_Spare">#REF!</definedName>
    <definedName name="FS_Net_Cash_Return_High">#REF!</definedName>
    <definedName name="FS_Net_Cash_Return_LE02_High">#REF!</definedName>
    <definedName name="FS_Net_Cash_Return_LE02_LNG">#REF!</definedName>
    <definedName name="FS_Net_Cash_Return_LE02_Low">#REF!</definedName>
    <definedName name="FS_Net_Cash_Return_LE02_Spare">#REF!</definedName>
    <definedName name="FS_Net_Cash_Return_LNG">#REF!</definedName>
    <definedName name="FS_Net_Cash_Return_Low">#REF!</definedName>
    <definedName name="FS_Net_Cash_Return_Spare">#REF!</definedName>
    <definedName name="FS_Net_Proceeds_High">#REF!</definedName>
    <definedName name="FS_Net_Proceeds_LE02_High">#REF!</definedName>
    <definedName name="FS_Net_Proceeds_LE02_LNG">#REF!</definedName>
    <definedName name="FS_Net_Proceeds_LE02_Low">#REF!</definedName>
    <definedName name="FS_Net_Proceeds_LE02_Spare">#REF!</definedName>
    <definedName name="FS_Net_Proceeds_LNG">#REF!</definedName>
    <definedName name="FS_Net_Proceeds_Low">#REF!</definedName>
    <definedName name="FS_Net_Proceeds_Spare">#REF!</definedName>
    <definedName name="FS_Net_Proceeds2_High">#REF!</definedName>
    <definedName name="FS_Net_Proceeds2_LE02_High">#REF!</definedName>
    <definedName name="FS_Net_Proceeds2_LE02_LNG">#REF!</definedName>
    <definedName name="FS_Net_Proceeds2_LE02_Low">#REF!</definedName>
    <definedName name="FS_Net_Proceeds2_LE02_Spare">#REF!</definedName>
    <definedName name="FS_Net_Proceeds2_LNG">#REF!</definedName>
    <definedName name="FS_Net_Proceeds2_Low">#REF!</definedName>
    <definedName name="FS_Net_Proceeds2_Spare">#REF!</definedName>
    <definedName name="FS_NIAT_after_Min_Int_High">#REF!</definedName>
    <definedName name="FS_NIAT_after_Min_Int_LE02_High">#REF!</definedName>
    <definedName name="FS_NIAT_after_Min_Int_LE02_LNG">#REF!</definedName>
    <definedName name="FS_NIAT_after_Min_Int_LE02_Low">#REF!</definedName>
    <definedName name="FS_NIAT_after_Min_Int_LE02_Spare">#REF!</definedName>
    <definedName name="FS_NIAT_after_Min_Int_LNG">#REF!</definedName>
    <definedName name="FS_NIAT_after_Min_Int_Low">#REF!</definedName>
    <definedName name="FS_NIAT_after_Min_Int_Spare">#REF!</definedName>
    <definedName name="FS_NIAT_B4_Min_Int_High">#REF!</definedName>
    <definedName name="FS_NIAT_B4_Min_Int_LE02_High">#REF!</definedName>
    <definedName name="FS_NIAT_B4_Min_Int_LE02_LNG">#REF!</definedName>
    <definedName name="FS_NIAT_B4_Min_Int_LE02_Low">#REF!</definedName>
    <definedName name="FS_NIAT_B4_Min_Int_LE02_Spare">#REF!</definedName>
    <definedName name="FS_NIAT_B4_Min_Int_LNG">#REF!</definedName>
    <definedName name="FS_NIAT_B4_Min_Int_Low">#REF!</definedName>
    <definedName name="FS_NIAT_B4_Min_Int_Spare">#REF!</definedName>
    <definedName name="FS_Niat_High">#REF!</definedName>
    <definedName name="FS_Niat_LE02_High">#REF!</definedName>
    <definedName name="FS_Niat_LE02_LNG">#REF!</definedName>
    <definedName name="FS_Niat_LE02_Low">#REF!</definedName>
    <definedName name="FS_Niat_LE02_Spare">#REF!</definedName>
    <definedName name="FS_Niat_LNG">#REF!</definedName>
    <definedName name="FS_Niat_Low">#REF!</definedName>
    <definedName name="FS_Niat_Spare">#REF!</definedName>
    <definedName name="FS_Op_Profit_High">#REF!</definedName>
    <definedName name="FS_Op_Profit_LE02_High">#REF!</definedName>
    <definedName name="FS_Op_Profit_LE02_LNG">#REF!</definedName>
    <definedName name="FS_Op_Profit_LE02_Low">#REF!</definedName>
    <definedName name="FS_Op_Profit_LE02_Spare">#REF!</definedName>
    <definedName name="FS_Op_Profit_LNG">#REF!</definedName>
    <definedName name="FS_Op_Profit_Low">#REF!</definedName>
    <definedName name="FS_Op_Profit_Spare">#REF!</definedName>
    <definedName name="FS_Oth_DIE_High">#REF!</definedName>
    <definedName name="FS_Oth_DIE_LE02_High">#REF!</definedName>
    <definedName name="FS_Oth_DIE_LE02_LNG">#REF!</definedName>
    <definedName name="FS_Oth_DIE_LE02_Low">#REF!</definedName>
    <definedName name="FS_Oth_DIE_LE02_Spare">#REF!</definedName>
    <definedName name="FS_Oth_DIE_LNG">#REF!</definedName>
    <definedName name="FS_Oth_DIE_Low">#REF!</definedName>
    <definedName name="FS_Oth_DIE_Spare">#REF!</definedName>
    <definedName name="FS_Oth_LT_Liab_High">#REF!</definedName>
    <definedName name="FS_Oth_LT_Liab_LE02_High">#REF!</definedName>
    <definedName name="FS_Oth_LT_Liab_LE02_LNG">#REF!</definedName>
    <definedName name="FS_Oth_LT_Liab_LE02_Low">#REF!</definedName>
    <definedName name="FS_Oth_LT_Liab_LE02_Spare">#REF!</definedName>
    <definedName name="FS_Oth_LT_Liab_LNG">#REF!</definedName>
    <definedName name="FS_Oth_LT_Liab_Low">#REF!</definedName>
    <definedName name="FS_Oth_LT_Liab_Spare">#REF!</definedName>
    <definedName name="FS_Other_DIE_High">#REF!</definedName>
    <definedName name="FS_Other_DIE_LE02_High">#REF!</definedName>
    <definedName name="FS_Other_DIE_LE02_LNG">#REF!</definedName>
    <definedName name="FS_Other_DIE_LE02_Low">#REF!</definedName>
    <definedName name="FS_Other_DIE_LE02_Spare">#REF!</definedName>
    <definedName name="FS_Other_DIE_LNG">#REF!</definedName>
    <definedName name="FS_Other_DIE_Low">#REF!</definedName>
    <definedName name="FS_Other_DIE_Spare">#REF!</definedName>
    <definedName name="FS_Other_LT_Liabs_High">#REF!</definedName>
    <definedName name="FS_Other_LT_Liabs_LE02_High">#REF!</definedName>
    <definedName name="FS_Other_LT_Liabs_LE02_LNG">#REF!</definedName>
    <definedName name="FS_Other_LT_Liabs_LE02_Low">#REF!</definedName>
    <definedName name="FS_Other_LT_Liabs_LE02_Spare">#REF!</definedName>
    <definedName name="FS_Other_LT_Liabs_LNG">#REF!</definedName>
    <definedName name="FS_Other_LT_Liabs_Low">#REF!</definedName>
    <definedName name="FS_Other_LT_Liabs_Spare">#REF!</definedName>
    <definedName name="FS_Prim_Trans_Op_Costs_High">#REF!</definedName>
    <definedName name="FS_Prim_Trans_Op_Costs_LE02_High">#REF!</definedName>
    <definedName name="FS_Prim_Trans_Op_Costs_LE02_LNG">#REF!</definedName>
    <definedName name="FS_Prim_Trans_Op_Costs_LE02_Low">#REF!</definedName>
    <definedName name="FS_Prim_Trans_Op_Costs_LE02_Spare">#REF!</definedName>
    <definedName name="FS_Prim_Trans_Op_Costs_LNG">#REF!</definedName>
    <definedName name="FS_Prim_Trans_Op_Costs_Low">#REF!</definedName>
    <definedName name="FS_Prim_Trans_Op_Costs_Spare">#REF!</definedName>
    <definedName name="FS_Prov_Def_Tax_High">#REF!</definedName>
    <definedName name="FS_Prov_Def_Tax_LE02_High">#REF!</definedName>
    <definedName name="FS_Prov_Def_Tax_LE02_LNG">#REF!</definedName>
    <definedName name="FS_Prov_Def_Tax_LE02_Low">#REF!</definedName>
    <definedName name="FS_Prov_Def_Tax_LE02_Spare">#REF!</definedName>
    <definedName name="FS_Prov_Def_Tax_LNG">#REF!</definedName>
    <definedName name="FS_Prov_Def_Tax_Low">#REF!</definedName>
    <definedName name="FS_Prov_Def_Tax_Spare">#REF!</definedName>
    <definedName name="FS_Prov_High">#REF!</definedName>
    <definedName name="FS_Prov_LE02_High">#REF!</definedName>
    <definedName name="FS_Prov_LE02_LNG">#REF!</definedName>
    <definedName name="FS_Prov_LE02_Low">#REF!</definedName>
    <definedName name="FS_Prov_LE02_Spare">#REF!</definedName>
    <definedName name="FS_Prov_LNG">#REF!</definedName>
    <definedName name="FS_Prov_Low">#REF!</definedName>
    <definedName name="FS_Prov_Spare">#REF!</definedName>
    <definedName name="FS_Purchases_High">#REF!</definedName>
    <definedName name="FS_Purchases_LE02_High">#REF!</definedName>
    <definedName name="FS_Purchases_LE02_LNG">#REF!</definedName>
    <definedName name="FS_Purchases_LE02_Low">#REF!</definedName>
    <definedName name="FS_Purchases_LE02_Spare">#REF!</definedName>
    <definedName name="FS_Purchases_LNG">#REF!</definedName>
    <definedName name="FS_Purchases_Low">#REF!</definedName>
    <definedName name="FS_Purchases_Spare">#REF!</definedName>
    <definedName name="FS_Purchases2_High">#REF!</definedName>
    <definedName name="FS_Purchases2_LE02_High">#REF!</definedName>
    <definedName name="FS_Purchases2_LE02_LNG">#REF!</definedName>
    <definedName name="FS_Purchases2_LE02_Low">#REF!</definedName>
    <definedName name="FS_Purchases2_LE02_Spare">#REF!</definedName>
    <definedName name="FS_Purchases2_LNG">#REF!</definedName>
    <definedName name="FS_Purchases2_Low">#REF!</definedName>
    <definedName name="FS_Purchases2_Spare">#REF!</definedName>
    <definedName name="FS_Quasi_Equity_High">#REF!</definedName>
    <definedName name="FS_Quasi_Equity_LE02_High">#REF!</definedName>
    <definedName name="FS_Quasi_Equity_LE02_LNG">#REF!</definedName>
    <definedName name="FS_Quasi_Equity_LE02_Low">#REF!</definedName>
    <definedName name="FS_Quasi_Equity_LE02_Spare">#REF!</definedName>
    <definedName name="FS_Quasi_Equity_LNG">#REF!</definedName>
    <definedName name="FS_Quasi_Equity_Low">#REF!</definedName>
    <definedName name="FS_Quasi_Equity_Spare">#REF!</definedName>
    <definedName name="FS_Quasi_Equity2_High">#REF!</definedName>
    <definedName name="FS_Quasi_Equity2_LE02_High">#REF!</definedName>
    <definedName name="FS_Quasi_Equity2_LE02_LNG">#REF!</definedName>
    <definedName name="FS_Quasi_Equity2_LE02_Low">#REF!</definedName>
    <definedName name="FS_Quasi_Equity2_LE02_Spare">#REF!</definedName>
    <definedName name="FS_Quasi_Equity2_LNG">#REF!</definedName>
    <definedName name="FS_Quasi_Equity2_Low">#REF!</definedName>
    <definedName name="FS_Quasi_Equity2_Spare">#REF!</definedName>
    <definedName name="FS_Ret_Earn_High">#REF!</definedName>
    <definedName name="FS_Ret_Earn_LE02_High">#REF!</definedName>
    <definedName name="FS_Ret_Earn_LE02_LNG">#REF!</definedName>
    <definedName name="FS_Ret_Earn_LE02_Low">#REF!</definedName>
    <definedName name="FS_Ret_Earn_LE02_Spare">#REF!</definedName>
    <definedName name="FS_Ret_Earn_LNG">#REF!</definedName>
    <definedName name="FS_Ret_Earn_Low">#REF!</definedName>
    <definedName name="FS_Ret_Earn_Spare">#REF!</definedName>
    <definedName name="FS_Retained_Earnings_High">#REF!</definedName>
    <definedName name="FS_Retained_Earnings_LE02_High">#REF!</definedName>
    <definedName name="FS_Retained_Earnings_LE02_LNG">#REF!</definedName>
    <definedName name="FS_Retained_Earnings_LE02_Low">#REF!</definedName>
    <definedName name="FS_Retained_Earnings_LE02_Spare">#REF!</definedName>
    <definedName name="FS_Retained_Earnings_LNG">#REF!</definedName>
    <definedName name="FS_Retained_Earnings_Low">#REF!</definedName>
    <definedName name="FS_Retained_Earnings_Spare">#REF!</definedName>
    <definedName name="FS_Royalties_High">#REF!</definedName>
    <definedName name="FS_Royalties_LE02_High">#REF!</definedName>
    <definedName name="FS_Royalties_LE02_LNG">#REF!</definedName>
    <definedName name="FS_Royalties_LE02_Low">#REF!</definedName>
    <definedName name="FS_Royalties_LE02_Spare">#REF!</definedName>
    <definedName name="FS_Royalties_LNG">#REF!</definedName>
    <definedName name="FS_Royalties_Low">#REF!</definedName>
    <definedName name="FS_Royalties_Spare">#REF!</definedName>
    <definedName name="FS_Royalty_High">#REF!</definedName>
    <definedName name="FS_Royalty_LE02_High">#REF!</definedName>
    <definedName name="FS_Royalty_LE02_LNG">#REF!</definedName>
    <definedName name="FS_Royalty_LE02_Low">#REF!</definedName>
    <definedName name="FS_Royalty_LE02_Spare">#REF!</definedName>
    <definedName name="FS_Royalty_LNG">#REF!</definedName>
    <definedName name="FS_Royalty_Low">#REF!</definedName>
    <definedName name="FS_Royalty_Spare">#REF!</definedName>
    <definedName name="FS_Sell_Dist_Admin_Exp_High">#REF!</definedName>
    <definedName name="FS_Sell_Dist_Admin_Exp_LE02_High">#REF!</definedName>
    <definedName name="FS_Sell_Dist_Admin_Exp_LE02_LNG">#REF!</definedName>
    <definedName name="FS_Sell_Dist_Admin_Exp_LE02_Low">#REF!</definedName>
    <definedName name="FS_Sell_Dist_Admin_Exp_LE02_Spare">#REF!</definedName>
    <definedName name="FS_Sell_Dist_Admin_Exp_LNG">#REF!</definedName>
    <definedName name="FS_Sell_Dist_Admin_Exp_Low">#REF!</definedName>
    <definedName name="FS_Sell_Dist_Admin_Exp_Spare">#REF!</definedName>
    <definedName name="FS_Sell_Dist_Admin_High">#REF!</definedName>
    <definedName name="FS_Sell_Dist_Admin_LE02_High">#REF!</definedName>
    <definedName name="FS_Sell_Dist_Admin_LE02_LNG">#REF!</definedName>
    <definedName name="FS_Sell_Dist_Admin_LE02_Low">#REF!</definedName>
    <definedName name="FS_Sell_Dist_Admin_LE02_Spare">#REF!</definedName>
    <definedName name="FS_Sell_Dist_Admin_LNG">#REF!</definedName>
    <definedName name="FS_Sell_Dist_Admin_Low">#REF!</definedName>
    <definedName name="FS_Sell_Dist_Admin_Spare">#REF!</definedName>
    <definedName name="FS_Trans_Costs_High">#REF!</definedName>
    <definedName name="FS_Trans_Costs_LE02_High">#REF!</definedName>
    <definedName name="FS_Trans_Costs_LE02_LNG">#REF!</definedName>
    <definedName name="FS_Trans_Costs_LE02_Low">#REF!</definedName>
    <definedName name="FS_Trans_Costs_LE02_Spare">#REF!</definedName>
    <definedName name="FS_Trans_Costs_LNG">#REF!</definedName>
    <definedName name="FS_Trans_Costs_Low">#REF!</definedName>
    <definedName name="FS_Trans_Costs_Spare">#REF!</definedName>
    <definedName name="FS_Work_Cap_HIgh">#REF!</definedName>
    <definedName name="FS_Work_Cap_LE02_High">#REF!</definedName>
    <definedName name="FS_Work_Cap_LE02_LNG">#REF!</definedName>
    <definedName name="FS_Work_Cap_LE02_Low">#REF!</definedName>
    <definedName name="FS_Work_Cap_LE02_Spare">#REF!</definedName>
    <definedName name="FS_Work_Cap_LNG">#REF!</definedName>
    <definedName name="FS_Work_Cap_Low">#REF!</definedName>
    <definedName name="FS_Work_Cap_Spare">#REF!</definedName>
    <definedName name="FS_Working_Cap_High">#REF!</definedName>
    <definedName name="FS_Working_Cap_LE02_High">#REF!</definedName>
    <definedName name="FS_Working_Cap_LE02_LNG">#REF!</definedName>
    <definedName name="FS_Working_Cap_LE02_Low">#REF!</definedName>
    <definedName name="FS_Working_Cap_LE02_Spare">#REF!</definedName>
    <definedName name="FS_Working_Cap_LNG">#REF!</definedName>
    <definedName name="FS_Working_Cap_Low">#REF!</definedName>
    <definedName name="FS_Working_Cap_Spare">#REF!</definedName>
    <definedName name="fsdadsafdsa" localSheetId="27" hidden="1">#REF!</definedName>
    <definedName name="fsdadsafdsa" localSheetId="0" hidden="1">#REF!</definedName>
    <definedName name="fsdadsafdsa" hidden="1">#REF!</definedName>
    <definedName name="fsdafsdfsdfa" localSheetId="27" hidden="1">#REF!</definedName>
    <definedName name="fsdafsdfsdfa" localSheetId="0" hidden="1">#REF!</definedName>
    <definedName name="fsdafsdfsdfa" hidden="1">#REF!</definedName>
    <definedName name="fsdfds" localSheetId="0" hidden="1">#REF!</definedName>
    <definedName name="fsdfds" hidden="1">#REF!</definedName>
    <definedName name="fsfdafdsa">#N/A</definedName>
    <definedName name="fswfvscvsd" localSheetId="27">#REF!</definedName>
    <definedName name="fswfvscvsd">#REF!</definedName>
    <definedName name="Fundo">#REF!</definedName>
    <definedName name="g" localSheetId="27">#REF!</definedName>
    <definedName name="G" localSheetId="0" hidden="1">#REF!</definedName>
    <definedName name="g">#REF!</definedName>
    <definedName name="G_Entr_Pagas">#REF!</definedName>
    <definedName name="G_Entr_Pagas_e_Estud">#REF!</definedName>
    <definedName name="G_Pagas_e_Pagas_cEstud">#REF!</definedName>
    <definedName name="G_Receita_Pagas">#REF!</definedName>
    <definedName name="G_Receita_Pagas_e_Estud">#REF!</definedName>
    <definedName name="G_Receita_Pagas_e_Receita_Pagas_e_Estud">#REF!</definedName>
    <definedName name="GAF" localSheetId="27">#REF!</definedName>
    <definedName name="GAF">#REF!</definedName>
    <definedName name="gaffsdads" localSheetId="27" hidden="1">#REF!</definedName>
    <definedName name="gaffsdads" localSheetId="0" hidden="1">#REF!</definedName>
    <definedName name="gaffsdads" hidden="1">#REF!</definedName>
    <definedName name="gchmghm" localSheetId="27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gchmghm" localSheetId="0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gchmghm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gdgdg" localSheetId="27" hidden="1">{#N/A,#N/A,FALSE,"Brazil Summary";#N/A,#N/A,FALSE,"SEA CIF Summary";#N/A,#N/A,FALSE,"USGC Contract";#N/A,#N/A,FALSE,"USGC Spot";#N/A,#N/A,FALSE,"Brazil Base Cycle ";#N/A,#N/A,FALSE,"Brazil Base Trend";#N/A,#N/A,FALSE,"Brazil Low Cycle";#N/A,#N/A,FALSE,"Brazil Low Trend";#N/A,#N/A,FALSE,"Variables"}</definedName>
    <definedName name="gdgdg" localSheetId="0" hidden="1">{#N/A,#N/A,FALSE,"Brazil Summary";#N/A,#N/A,FALSE,"SEA CIF Summary";#N/A,#N/A,FALSE,"USGC Contract";#N/A,#N/A,FALSE,"USGC Spot";#N/A,#N/A,FALSE,"Brazil Base Cycle ";#N/A,#N/A,FALSE,"Brazil Base Trend";#N/A,#N/A,FALSE,"Brazil Low Cycle";#N/A,#N/A,FALSE,"Brazil Low Trend";#N/A,#N/A,FALSE,"Variables"}</definedName>
    <definedName name="gdgdg" hidden="1">{#N/A,#N/A,FALSE,"Brazil Summary";#N/A,#N/A,FALSE,"SEA CIF Summary";#N/A,#N/A,FALSE,"USGC Contract";#N/A,#N/A,FALSE,"USGC Spot";#N/A,#N/A,FALSE,"Brazil Base Cycle ";#N/A,#N/A,FALSE,"Brazil Base Trend";#N/A,#N/A,FALSE,"Brazil Low Cycle";#N/A,#N/A,FALSE,"Brazil Low Trend";#N/A,#N/A,FALSE,"Variables"}</definedName>
    <definedName name="gfdgdgf" localSheetId="27" hidden="1">#REF!</definedName>
    <definedName name="gfdgdgf" localSheetId="0" hidden="1">#REF!</definedName>
    <definedName name="gfdgdgf" hidden="1">#REF!</definedName>
    <definedName name="gfgfsdfds" localSheetId="27" hidden="1">#REF!</definedName>
    <definedName name="gfgfsdfds" localSheetId="0" hidden="1">#REF!</definedName>
    <definedName name="gfgfsdfds" hidden="1">#REF!</definedName>
    <definedName name="gfsdgfdsgf" localSheetId="27" hidden="1">#REF!</definedName>
    <definedName name="gfsdgfdsgf" localSheetId="0" hidden="1">#REF!</definedName>
    <definedName name="gfsdgfdsgf" hidden="1">#REF!</definedName>
    <definedName name="GGG">#N/A</definedName>
    <definedName name="gggg" hidden="1">{"'Edit'!$A$1:$V$2277"}</definedName>
    <definedName name="gggggggggg" localSheetId="27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gggggggggg" localSheetId="0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gggggggggg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gggsgsg">#N/A</definedName>
    <definedName name="gghmghmgh" localSheetId="27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gghmghmgh" localSheetId="0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gghmghmgh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ghcmghm" localSheetId="27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ghcmghm" localSheetId="0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ghcmghm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ghg" localSheetId="27">#REF!</definedName>
    <definedName name="ghg">#REF!</definedName>
    <definedName name="ghj" localSheetId="27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ghj" localSheetId="0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ghj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GHJESRXDTG" localSheetId="27" hidden="1">{#N/A,#N/A,FALSE,"Plan1";#N/A,#N/A,FALSE,"Plan2"}</definedName>
    <definedName name="GHJESRXDTG" localSheetId="0" hidden="1">{#N/A,#N/A,FALSE,"Plan1";#N/A,#N/A,FALSE,"Plan2"}</definedName>
    <definedName name="GHJESRXDTG" hidden="1">{#N/A,#N/A,FALSE,"Plan1";#N/A,#N/A,FALSE,"Plan2"}</definedName>
    <definedName name="ghmgh" localSheetId="27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ghmgh" localSheetId="0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ghmgh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ghmghmj" localSheetId="27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ghmghmj" localSheetId="0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ghmghmj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ghmjhmh" localSheetId="27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ghmjhmh" localSheetId="0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ghmjhmh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glc" localSheetId="27">#REF!</definedName>
    <definedName name="glc">#REF!</definedName>
    <definedName name="GNNMJ" localSheetId="27" hidden="1">{"tabela",#N/A,FALSE,"Tabela";"decoração",#N/A,FALSE,"Decor.";"Informações",#N/A,FALSE,"Inform."}</definedName>
    <definedName name="GNNMJ" localSheetId="0" hidden="1">{"tabela",#N/A,FALSE,"Tabela";"decoração",#N/A,FALSE,"Decor.";"Informações",#N/A,FALSE,"Inform."}</definedName>
    <definedName name="GNNMJ" hidden="1">{"tabela",#N/A,FALSE,"Tabela";"decoração",#N/A,FALSE,"Decor.";"Informações",#N/A,FALSE,"Inform."}</definedName>
    <definedName name="gr" hidden="1">{"TotalGeralDespesasPorArea",#N/A,FALSE,"VinculosAccessEfetivo"}</definedName>
    <definedName name="gra_1617" localSheetId="27">#REF!</definedName>
    <definedName name="gra_1617">#REF!</definedName>
    <definedName name="graficos2" localSheetId="27">#REF!</definedName>
    <definedName name="graficos2">#REF!</definedName>
    <definedName name="_xlnm.Recorder" localSheetId="27">#REF!</definedName>
    <definedName name="_xlnm.Recorder">#REF!</definedName>
    <definedName name="GrpAcct1" hidden="1">"5611"</definedName>
    <definedName name="GrpAcct2" hidden="1">"5612"</definedName>
    <definedName name="GrpLevel" hidden="1">2</definedName>
    <definedName name="gsdag">#N/A</definedName>
    <definedName name="gsdfg">#N/A</definedName>
    <definedName name="gtui" localSheetId="27">#REF!</definedName>
    <definedName name="gtui">#REF!</definedName>
    <definedName name="gutierrez" hidden="1">{"TotalGeralDespesasPorArea",#N/A,FALSE,"VinculosAccessEfetivo"}</definedName>
    <definedName name="h" localSheetId="27">#REF!</definedName>
    <definedName name="h">#REF!</definedName>
    <definedName name="hah" localSheetId="27">#REF!</definedName>
    <definedName name="hah">#REF!</definedName>
    <definedName name="hdghgdhgd" localSheetId="27" hidden="1">#REF!</definedName>
    <definedName name="hdghgdhgd" localSheetId="0" hidden="1">#REF!</definedName>
    <definedName name="hdghgdhgd" hidden="1">#REF!</definedName>
    <definedName name="Header_2001">#REF!</definedName>
    <definedName name="Header_2002LE">#REF!</definedName>
    <definedName name="Header_Qtrs03">#REF!</definedName>
    <definedName name="Header_ValueWholeYears">#REF!</definedName>
    <definedName name="Header_WholeYears">#REF!</definedName>
    <definedName name="Headings" localSheetId="27">#REF!</definedName>
    <definedName name="Headings">#REF!</definedName>
    <definedName name="Hg">#REF!</definedName>
    <definedName name="hgdfhgdhgf" localSheetId="27" hidden="1">#REF!</definedName>
    <definedName name="hgdfhgdhgf" localSheetId="0" hidden="1">#REF!</definedName>
    <definedName name="hgdfhgdhgf" hidden="1">#REF!</definedName>
    <definedName name="hgdfhgfdhgf" localSheetId="27" hidden="1">#REF!</definedName>
    <definedName name="hgdfhgfdhgf" localSheetId="0" hidden="1">#REF!</definedName>
    <definedName name="hgdfhgfdhgf" hidden="1">#REF!</definedName>
    <definedName name="hgdhgd" localSheetId="27" hidden="1">#REF!</definedName>
    <definedName name="hgdhgd" localSheetId="0" hidden="1">#REF!</definedName>
    <definedName name="hgdhgd" hidden="1">#REF!</definedName>
    <definedName name="hgdhgfhgf" localSheetId="0" hidden="1">#REF!</definedName>
    <definedName name="hgdhgfhgf" hidden="1">#REF!</definedName>
    <definedName name="hggggggggggggg" localSheetId="0" hidden="1">#REF!</definedName>
    <definedName name="hggggggggggggg" hidden="1">#REF!</definedName>
    <definedName name="hhhhhhhhhh" localSheetId="0" hidden="1">#REF!</definedName>
    <definedName name="hhhhhhhhhh" hidden="1">#REF!</definedName>
    <definedName name="hhhhhhhhhhhhhhh" localSheetId="0" hidden="1">#REF!</definedName>
    <definedName name="hhhhhhhhhhhhhhh" hidden="1">#REF!</definedName>
    <definedName name="HIDRO">#REF!</definedName>
    <definedName name="HIDROPP">#REF!</definedName>
    <definedName name="HJ" localSheetId="27" hidden="1">{#N/A,#N/A,FALSE,"Plan1";#N/A,#N/A,FALSE,"Plan2"}</definedName>
    <definedName name="HJ" localSheetId="0" hidden="1">{#N/A,#N/A,FALSE,"Plan1";#N/A,#N/A,FALSE,"Plan2"}</definedName>
    <definedName name="HJ" hidden="1">{#N/A,#N/A,FALSE,"Plan1";#N/A,#N/A,FALSE,"Plan2"}</definedName>
    <definedName name="hjfhgjgf" localSheetId="27" hidden="1">#REF!</definedName>
    <definedName name="hjfhgjgf" localSheetId="0" hidden="1">#REF!</definedName>
    <definedName name="hjfhgjgf" hidden="1">#REF!</definedName>
    <definedName name="hjgjghh" localSheetId="27" hidden="1">#REF!</definedName>
    <definedName name="hjgjghh" localSheetId="0" hidden="1">#REF!</definedName>
    <definedName name="hjgjghh" hidden="1">#REF!</definedName>
    <definedName name="hjhjhj" hidden="1">{"'Edit'!$A$1:$V$2277"}</definedName>
    <definedName name="Hola" hidden="1">{#N/A,#N/A,FALSE,"GERAL";#N/A,#N/A,FALSE,"LOCAÇÃO";#N/A,#N/A,FALSE,"FRETAMENTO";#N/A,#N/A,FALSE,"CARRETAS"}</definedName>
    <definedName name="HONO" localSheetId="27">#REF!</definedName>
    <definedName name="HONO">#REF!</definedName>
    <definedName name="honor_construcao">#REF!</definedName>
    <definedName name="HTML_CodePage" hidden="1">1252</definedName>
    <definedName name="HTML_Control" localSheetId="27" hidden="1">{"'Índice'!$A$1:$K$49"}</definedName>
    <definedName name="HTML_Control" localSheetId="0" hidden="1">{"'Índice'!$A$1:$K$49"}</definedName>
    <definedName name="HTML_Control" localSheetId="26" hidden="1">{"'Índice'!$A$1:$K$49"}</definedName>
    <definedName name="HTML_Control" hidden="1">{"'Índice'!$A$1:$K$49"}</definedName>
    <definedName name="HTML_Description" localSheetId="0" hidden="1">""</definedName>
    <definedName name="HTML_Description" hidden="1">""</definedName>
    <definedName name="HTML_Email" hidden="1">""</definedName>
    <definedName name="HTML_Header" localSheetId="0" hidden="1">"Índice"</definedName>
    <definedName name="HTML_Header" hidden="1">"Índice"</definedName>
    <definedName name="HTML_LastUpdate" localSheetId="0" hidden="1">"12/08/1999"</definedName>
    <definedName name="HTML_LastUpdate" hidden="1">"12/08/1999"</definedName>
    <definedName name="HTML_LineAfter" hidden="1">FALSE</definedName>
    <definedName name="HTML_LineBefore" localSheetId="0" hidden="1">FALSE</definedName>
    <definedName name="HTML_LineBefore" hidden="1">FALSE</definedName>
    <definedName name="HTML_Name" localSheetId="0" hidden="1">"Rodovia das Cataratas"</definedName>
    <definedName name="HTML_Name" hidden="1">"Rodovia das Cataratas"</definedName>
    <definedName name="HTML_OBDlg2" hidden="1">TRUE</definedName>
    <definedName name="HTML_OBDlg4" hidden="1">TRUE</definedName>
    <definedName name="HTML_OS" hidden="1">0</definedName>
    <definedName name="HTML_PathFile" localSheetId="0" hidden="1">"\\Server_1\sig\07 Julho\Informe\MeuHTML.htm"</definedName>
    <definedName name="HTML_PathFile" hidden="1">"\\Server_1\sig\07 Julho\Informe\MeuHTML.htm"</definedName>
    <definedName name="HTML_Title" localSheetId="0" hidden="1">"Gerência de Administração e Controle de Gestão"</definedName>
    <definedName name="HTML_Title" hidden="1">"Gerência de Administração e Controle de Gestão"</definedName>
    <definedName name="HTMLControl" hidden="1">{"'Edit'!$A$1:$V$2277"}</definedName>
    <definedName name="i" localSheetId="27">#REF!</definedName>
    <definedName name="I" localSheetId="0">#REF!</definedName>
    <definedName name="i">#REF!</definedName>
    <definedName name="ICMS_BA">#REF!</definedName>
    <definedName name="ICMS_credito_PVC_01">#REF!</definedName>
    <definedName name="ICMS_credito_PVC_02">#REF!</definedName>
    <definedName name="ICMS_credito_PVC_03">#REF!</definedName>
    <definedName name="ICMS_credito_PVC_04">#REF!</definedName>
    <definedName name="ICMS_credito_PVC_05">#REF!</definedName>
    <definedName name="ICMS_credito_PVC_06">#REF!</definedName>
    <definedName name="ICMS_credito_PVC_07">#REF!</definedName>
    <definedName name="ICMS_credito_PVC_08">#REF!</definedName>
    <definedName name="ICMS_credito_PVC_09">#REF!</definedName>
    <definedName name="ICMS_credito_PVC_10">#REF!</definedName>
    <definedName name="ICMS_credito_PVC_11">#REF!</definedName>
    <definedName name="ICMS_EE">#REF!</definedName>
    <definedName name="ICMS_incentivo_01">#REF!</definedName>
    <definedName name="ICMS_incentivo_02">#REF!</definedName>
    <definedName name="ICMS_incentivo_03">#REF!</definedName>
    <definedName name="ICMS_incentivo_04">#REF!</definedName>
    <definedName name="ICMS_incentivo_05">#REF!</definedName>
    <definedName name="ICMS_incentivo_06">#REF!</definedName>
    <definedName name="ICMS_incentivo_07">#REF!</definedName>
    <definedName name="ICMS_incentivo_08">#REF!</definedName>
    <definedName name="ICMS_incentivo_09">#REF!</definedName>
    <definedName name="ICMS_incentivo_10">#REF!</definedName>
    <definedName name="ICMS_incentivo_11">#REF!</definedName>
    <definedName name="ICMS_outros">#REF!</definedName>
    <definedName name="IÇOLJ" localSheetId="27" hidden="1">{"tabela",#N/A,FALSE,"Tabela";"decoração",#N/A,FALSE,"Decor.";"Informações",#N/A,FALSE,"Inform."}</definedName>
    <definedName name="IÇOLJ" localSheetId="0" hidden="1">{"tabela",#N/A,FALSE,"Tabela";"decoração",#N/A,FALSE,"Decor.";"Informações",#N/A,FALSE,"Inform."}</definedName>
    <definedName name="IÇOLJ" hidden="1">{"tabela",#N/A,FALSE,"Tabela";"decoração",#N/A,FALSE,"Decor.";"Informações",#N/A,FALSE,"Inform."}</definedName>
    <definedName name="IGV">#REF!</definedName>
    <definedName name="ii" localSheetId="27" hidden="1">{"tabela",#N/A,FALSE,"Tabela";"decoração",#N/A,FALSE,"Decor.";"Informações",#N/A,FALSE,"Inform."}</definedName>
    <definedName name="ii" localSheetId="0" hidden="1">{"tabela",#N/A,FALSE,"Tabela";"decoração",#N/A,FALSE,"Decor.";"Informações",#N/A,FALSE,"Inform."}</definedName>
    <definedName name="ii" hidden="1">{"tabela",#N/A,FALSE,"Tabela";"decoração",#N/A,FALSE,"Decor.";"Informações",#N/A,FALSE,"Inform."}</definedName>
    <definedName name="iii" localSheetId="27" hidden="1">#REF!</definedName>
    <definedName name="iii" localSheetId="0" hidden="1">#REF!</definedName>
    <definedName name="iii" hidden="1">#REF!</definedName>
    <definedName name="iiii">#N/A</definedName>
    <definedName name="iiiii" localSheetId="27">#REF!</definedName>
    <definedName name="iiiii">#REF!</definedName>
    <definedName name="iiiiiiiiiiiii" localSheetId="27" hidden="1">#REF!</definedName>
    <definedName name="iiiiiiiiiiiii" localSheetId="0" hidden="1">#REF!</definedName>
    <definedName name="iiiiiiiiiiiii" hidden="1">#REF!</definedName>
    <definedName name="iiiiiiiiiiiiiiiiiiiiiiii" localSheetId="27" hidden="1">#REF!</definedName>
    <definedName name="iiiiiiiiiiiiiiiiiiiiiiii" localSheetId="0" hidden="1">#REF!</definedName>
    <definedName name="iiiiiiiiiiiiiiiiiiiiiiii" hidden="1">#REF!</definedName>
    <definedName name="ILIAN" hidden="1">#REF!</definedName>
    <definedName name="IMOB_AmortizaçõesAcumuladas" localSheetId="27" hidden="1">#REF!</definedName>
    <definedName name="IMOB_AmortizaçõesAcumuladas" localSheetId="0" hidden="1">#REF!</definedName>
    <definedName name="IMOB_AmortizaçõesAcumuladas" hidden="1">#REF!</definedName>
    <definedName name="IMOB_AmortizaçõesExercício" localSheetId="0" hidden="1">#REF!</definedName>
    <definedName name="IMOB_AmortizaçõesExercício" hidden="1">#REF!</definedName>
    <definedName name="IMOB_ImobilizadoBruto" localSheetId="0" hidden="1">#REF!</definedName>
    <definedName name="IMOB_ImobilizadoBruto" hidden="1">#REF!</definedName>
    <definedName name="IMOB_tppe" localSheetId="0" hidden="1">#REF!</definedName>
    <definedName name="IMOB_tppe" hidden="1">#REF!</definedName>
    <definedName name="IMOB_Transferências" localSheetId="0" hidden="1">#REF!</definedName>
    <definedName name="IMOB_Transferências" hidden="1">#REF!</definedName>
    <definedName name="IMOBConta" localSheetId="0" hidden="1">#REF!</definedName>
    <definedName name="IMOBConta" hidden="1">#REF!</definedName>
    <definedName name="imobil" hidden="1">{"TotalGeralDespesasPorArea",#N/A,FALSE,"VinculosAccessEfetivo"}</definedName>
    <definedName name="imobilizado" hidden="1">{"TotalGeralDespesasPorArea",#N/A,FALSE,"VinculosAccessEfetivo"}</definedName>
    <definedName name="IMOBInvest_v" localSheetId="0" hidden="1">#REF!</definedName>
    <definedName name="IMOBInvest_v" hidden="1">#REF!</definedName>
    <definedName name="IMOBTransf_v" localSheetId="0" hidden="1">#REF!</definedName>
    <definedName name="IMOBTransf_v" hidden="1">#REF!</definedName>
    <definedName name="IMOBTransf_vduod" localSheetId="0" hidden="1">#REF!</definedName>
    <definedName name="IMOBTransf_vduod" hidden="1">#REF!</definedName>
    <definedName name="IMPAZ03">"IMPAZ03!R1C1:R2C26"</definedName>
    <definedName name="Importe_T2" localSheetId="27">#REF!</definedName>
    <definedName name="Importe_T2">#REF!</definedName>
    <definedName name="Importe_T3" localSheetId="27">#REF!</definedName>
    <definedName name="Importe_T3">#REF!</definedName>
    <definedName name="ImportFile">#N/A</definedName>
    <definedName name="IMPOSTOS_SOBRE_COMPRAS_POR_FÁBRICA____US__1.000">#REF!</definedName>
    <definedName name="IMPRES" localSheetId="27">#REF!</definedName>
    <definedName name="IMPRES">#REF!</definedName>
    <definedName name="impressao2" localSheetId="27">#REF!</definedName>
    <definedName name="impressao2">#REF!</definedName>
    <definedName name="impsos" localSheetId="27">#REF!</definedName>
    <definedName name="impsos">#REF!</definedName>
    <definedName name="in">#REF!</definedName>
    <definedName name="incentivo_ICMS">#REF!</definedName>
    <definedName name="INDEX" localSheetId="27">#REF!</definedName>
    <definedName name="INDEX">#REF!</definedName>
    <definedName name="INDICADOR" localSheetId="27">#REF!</definedName>
    <definedName name="INDICADOR">#REF!</definedName>
    <definedName name="Índice">#REF!</definedName>
    <definedName name="inflacao_US">#REF!</definedName>
    <definedName name="Inflación" localSheetId="27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Inflación" localSheetId="0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Inflación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infpte" localSheetId="27" hidden="1">#REF!</definedName>
    <definedName name="infpte" localSheetId="0" hidden="1">#REF!</definedName>
    <definedName name="infpte" hidden="1">#REF!</definedName>
    <definedName name="ingresso" localSheetId="27">#REF!</definedName>
    <definedName name="ingresso">#REF!</definedName>
    <definedName name="Inicio">#REF!</definedName>
    <definedName name="Inicio_Colar_Dados">#REF!</definedName>
    <definedName name="Inicio_Dados">#REF!</definedName>
    <definedName name="Inicio_FC_T2">#REF!</definedName>
    <definedName name="inicio_obra" localSheetId="27">#REF!</definedName>
    <definedName name="inicio_obra">#REF!</definedName>
    <definedName name="Inicio_Tipo">#REF!</definedName>
    <definedName name="INSS">#REF!</definedName>
    <definedName name="instrumentos">recuperação #REF!</definedName>
    <definedName name="inv" localSheetId="27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inv" localSheetId="0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inv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inv_disp_Ene_acum_PA">#REF!</definedName>
    <definedName name="inv_disp_Ene_acum_Real">#REF!</definedName>
    <definedName name="inv_disp_Ene_ano_PA">#REF!</definedName>
    <definedName name="inv_disp_Ene_ano_Tend">#REF!</definedName>
    <definedName name="inv_disp_Eng_acum_PA">#REF!</definedName>
    <definedName name="inv_disp_Eng_acum_Real">#REF!</definedName>
    <definedName name="inv_disp_Eng_ano_PA">#REF!</definedName>
    <definedName name="inv_disp_Eng_ano_Tend">#REF!</definedName>
    <definedName name="inv_disp_Inf_acum_PA">#REF!</definedName>
    <definedName name="inv_disp_Inf_acum_Real">#REF!</definedName>
    <definedName name="inv_disp_Inf_ano_PA">#REF!</definedName>
    <definedName name="inv_disp_Inf_ano_Tend">#REF!</definedName>
    <definedName name="inv_disp_Int_acum_PA">#REF!</definedName>
    <definedName name="inv_disp_Int_acum_Real">#REF!</definedName>
    <definedName name="inv_disp_Int_ano_PA">#REF!</definedName>
    <definedName name="inv_disp_Int_ano_Tend">#REF!</definedName>
    <definedName name="inv_disp_ODT_acum_PA">#REF!</definedName>
    <definedName name="inv_disp_ODT_acum_Real">#REF!</definedName>
    <definedName name="inv_disp_ODT_ano_PA">#REF!</definedName>
    <definedName name="inv_disp_ODT_ano_Tend">#REF!</definedName>
    <definedName name="inv_disp_OTP_acum_PA">#REF!</definedName>
    <definedName name="inv_disp_OTP_acum_Real">#REF!</definedName>
    <definedName name="inv_disp_OTP_ano_PA">#REF!</definedName>
    <definedName name="inv_disp_OTP_ano_Tend">#REF!</definedName>
    <definedName name="inv_disp_Ven_acum_PA">#REF!</definedName>
    <definedName name="inv_disp_Ven_acum_Real">#REF!</definedName>
    <definedName name="inv_disp_Ven_ano_PA">#REF!</definedName>
    <definedName name="inv_disp_Ven_ano_Tend">#REF!</definedName>
    <definedName name="inv_DivCorp_Ene_acum_PA">#REF!</definedName>
    <definedName name="inv_DivCorp_Ene_acum_Real">#REF!</definedName>
    <definedName name="inv_DivCorp_Ene_ano_PA">#REF!</definedName>
    <definedName name="inv_DivCorp_Ene_ano_Tend">#REF!</definedName>
    <definedName name="inv_DivCorp_Eng_acum_PA">#REF!</definedName>
    <definedName name="inv_DivCorp_Eng_acum_Real">#REF!</definedName>
    <definedName name="inv_DivCorp_Eng_ano_PA">#REF!</definedName>
    <definedName name="inv_DivCorp_Eng_ano_Tend">#REF!</definedName>
    <definedName name="inv_DivCorp_Inf_acum_PA">#REF!</definedName>
    <definedName name="inv_DivCorp_Inf_acum_Real">#REF!</definedName>
    <definedName name="inv_DivCorp_Inf_ano_PA">#REF!</definedName>
    <definedName name="inv_DivCorp_Inf_ano_Tend">#REF!</definedName>
    <definedName name="inv_DivCorp_Int_acum_PA">#REF!</definedName>
    <definedName name="inv_DivCorp_Int_acum_Real">#REF!</definedName>
    <definedName name="inv_DivCorp_Int_ano_PA">#REF!</definedName>
    <definedName name="inv_DivCorp_Int_ano_Tend">#REF!</definedName>
    <definedName name="inv_DivCorp_ODT_acum_PA">#REF!</definedName>
    <definedName name="inv_DivCorp_ODT_acum_Real">#REF!</definedName>
    <definedName name="inv_DivCorp_ODT_ano_PA">#REF!</definedName>
    <definedName name="inv_DivCorp_ODT_ano_Tend">#REF!</definedName>
    <definedName name="inv_DivCorp_OTP_acum_PA">#REF!</definedName>
    <definedName name="inv_DivCorp_OTP_acum_Real">#REF!</definedName>
    <definedName name="inv_DivCorp_OTP_ano_PA">#REF!</definedName>
    <definedName name="inv_DivCorp_OTP_ano_Tend">#REF!</definedName>
    <definedName name="inv_DivCorp_Ven_acum_PA">#REF!</definedName>
    <definedName name="inv_DivCorp_Ven_acum_Real">#REF!</definedName>
    <definedName name="inv_DivCorp_Ven_ano_PA">#REF!</definedName>
    <definedName name="inv_DivCorp_Ven_ano_Tend">#REF!</definedName>
    <definedName name="inv_DivEstr_Ene_acum_PA">#REF!</definedName>
    <definedName name="inv_DivEstr_Ene_acum_Real">#REF!</definedName>
    <definedName name="inv_DivEstr_Ene_ano_PA">#REF!</definedName>
    <definedName name="inv_DivEstr_Ene_ano_Tend">#REF!</definedName>
    <definedName name="inv_DivEstr_Eng_acum_PA">#REF!</definedName>
    <definedName name="inv_DivEstr_Eng_acum_Real">#REF!</definedName>
    <definedName name="inv_DivEstr_Eng_ano_PA">#REF!</definedName>
    <definedName name="inv_DivEstr_Eng_ano_Tend">#REF!</definedName>
    <definedName name="inv_DivEstr_Inf_acum_PA">#REF!</definedName>
    <definedName name="inv_DivEstr_Inf_acum_Real">#REF!</definedName>
    <definedName name="inv_DivEstr_Inf_ano_PA">#REF!</definedName>
    <definedName name="inv_DivEstr_Inf_ano_Tend">#REF!</definedName>
    <definedName name="inv_DivEstr_Int_acum_PA">#REF!</definedName>
    <definedName name="inv_DivEstr_Int_acum_Real">#REF!</definedName>
    <definedName name="inv_DivEstr_Int_ano_PA">#REF!</definedName>
    <definedName name="inv_DivEstr_Int_ano_Tend">#REF!</definedName>
    <definedName name="inv_DivEstr_ODT_acum_PA">#REF!</definedName>
    <definedName name="inv_DivEstr_ODT_acum_Real">#REF!</definedName>
    <definedName name="inv_DivEstr_ODT_ano_PA">#REF!</definedName>
    <definedName name="inv_DivEstr_ODT_ano_Tend">#REF!</definedName>
    <definedName name="inv_DivEstr_OTP_acum_PA">#REF!</definedName>
    <definedName name="inv_DivEstr_OTP_acum_Real">#REF!</definedName>
    <definedName name="inv_DivEstr_OTP_ano_PA">#REF!</definedName>
    <definedName name="inv_DivEstr_OTP_ano_Tend">#REF!</definedName>
    <definedName name="inv_DivEstr_Ven_acum_PA">#REF!</definedName>
    <definedName name="inv_DivEstr_Ven_acum_Real">#REF!</definedName>
    <definedName name="inv_DivEstr_Ven_ano_PA">#REF!</definedName>
    <definedName name="inv_DivEstr_Ven_ano_Tend">#REF!</definedName>
    <definedName name="inv_ebitda_Ene_acum_PA">#REF!</definedName>
    <definedName name="inv_ebitda_Ene_acum_Real">#REF!</definedName>
    <definedName name="inv_ebitda_Ene_ano_PA">#REF!</definedName>
    <definedName name="inv_ebitda_Ene_ano_Tend">#REF!</definedName>
    <definedName name="inv_ebitda_Eng_acum_PA">#REF!</definedName>
    <definedName name="inv_ebitda_Eng_acum_Real">#REF!</definedName>
    <definedName name="inv_ebitda_Eng_ano_PA">#REF!</definedName>
    <definedName name="inv_ebitda_Eng_ano_Tend">#REF!</definedName>
    <definedName name="inv_ebitda_Inf_acum_PA">#REF!</definedName>
    <definedName name="inv_ebitda_Inf_acum_Real">#REF!</definedName>
    <definedName name="inv_ebitda_Inf_ano_PA">#REF!</definedName>
    <definedName name="inv_ebitda_Inf_ano_Tend">#REF!</definedName>
    <definedName name="inv_ebitda_Int_acum_PA">#REF!</definedName>
    <definedName name="inv_ebitda_Int_acum_Real">#REF!</definedName>
    <definedName name="inv_ebitda_Int_ano_PA">#REF!</definedName>
    <definedName name="inv_ebitda_Int_ano_Tend">#REF!</definedName>
    <definedName name="inv_ebitda_ODT_acum_PA">#REF!</definedName>
    <definedName name="inv_ebitda_ODT_acum_Real">#REF!</definedName>
    <definedName name="inv_ebitda_ODT_ano_PA">#REF!</definedName>
    <definedName name="inv_ebitda_ODT_ano_Tend">#REF!</definedName>
    <definedName name="inv_ebitda_OTP_acum_PA">#REF!</definedName>
    <definedName name="inv_ebitda_OTP_acum_Real">#REF!</definedName>
    <definedName name="inv_ebitda_OTP_ano_PA">#REF!</definedName>
    <definedName name="inv_ebitda_OTP_ano_Tend">#REF!</definedName>
    <definedName name="inv_ebitda_Ven_acum_PA">#REF!</definedName>
    <definedName name="inv_ebitda_Ven_acum_Real">#REF!</definedName>
    <definedName name="inv_ebitda_Ven_ano_PA">#REF!</definedName>
    <definedName name="inv_ebitda_Ven_ano_Tend">#REF!</definedName>
    <definedName name="inv_FCI_Ene_acum_PA">#REF!</definedName>
    <definedName name="inv_FCI_Ene_acum_Real">#REF!</definedName>
    <definedName name="inv_FCI_Ene_ano_PA">#REF!</definedName>
    <definedName name="inv_FCI_Ene_ano_Tend">#REF!</definedName>
    <definedName name="inv_FCI_Eng_acum_PA">#REF!</definedName>
    <definedName name="inv_FCI_Eng_acum_Real">#REF!</definedName>
    <definedName name="inv_FCI_Eng_ano_PA">#REF!</definedName>
    <definedName name="inv_FCI_Eng_ano_Tend">#REF!</definedName>
    <definedName name="inv_FCI_Inf_acum_PA">#REF!</definedName>
    <definedName name="inv_FCI_Inf_acum_Real">#REF!</definedName>
    <definedName name="inv_FCI_Inf_ano_PA">#REF!</definedName>
    <definedName name="inv_FCI_Inf_ano_Tend">#REF!</definedName>
    <definedName name="inv_FCI_Int_acum_PA">#REF!</definedName>
    <definedName name="inv_FCI_Int_acum_Real">#REF!</definedName>
    <definedName name="inv_FCI_Int_ano_PA">#REF!</definedName>
    <definedName name="inv_FCI_Int_ano_Tend">#REF!</definedName>
    <definedName name="inv_FCI_ODT_acum_PA">#REF!</definedName>
    <definedName name="inv_FCI_ODT_acum_Real">#REF!</definedName>
    <definedName name="inv_FCI_ODT_ano_PA">#REF!</definedName>
    <definedName name="inv_FCI_ODT_ano_Tend">#REF!</definedName>
    <definedName name="inv_FCI_OTP_acum_PA">#REF!</definedName>
    <definedName name="inv_FCI_OTP_acum_Real">#REF!</definedName>
    <definedName name="inv_FCI_OTP_ano_PA">#REF!</definedName>
    <definedName name="inv_FCI_OTP_ano_Tend">#REF!</definedName>
    <definedName name="inv_FCI_Ven_acum_PA">#REF!</definedName>
    <definedName name="inv_FCI_Ven_acum_Real">#REF!</definedName>
    <definedName name="inv_FCI_Ven_ano_PA">#REF!</definedName>
    <definedName name="inv_FCI_Ven_ano_Tend">#REF!</definedName>
    <definedName name="inv_FCO_Ene_acum_PA">#REF!</definedName>
    <definedName name="inv_FCO_Ene_acum_Real">#REF!</definedName>
    <definedName name="inv_FCO_Ene_ano_PA">#REF!</definedName>
    <definedName name="inv_FCO_Ene_ano_Tend">#REF!</definedName>
    <definedName name="inv_FCO_Eng_acum_PA">#REF!</definedName>
    <definedName name="inv_FCO_Eng_acum_Real">#REF!</definedName>
    <definedName name="inv_FCO_Eng_ano_PA">#REF!</definedName>
    <definedName name="inv_FCO_Eng_ano_Tend">#REF!</definedName>
    <definedName name="inv_FCO_Inf_acum_PA">#REF!</definedName>
    <definedName name="inv_FCO_Inf_acum_Real">#REF!</definedName>
    <definedName name="inv_FCO_Inf_ano_PA">#REF!</definedName>
    <definedName name="inv_FCO_Inf_ano_Tend">#REF!</definedName>
    <definedName name="inv_FCO_Int_acum_PA">#REF!</definedName>
    <definedName name="inv_FCO_Int_acum_Real">#REF!</definedName>
    <definedName name="inv_FCO_Int_ano_PA">#REF!</definedName>
    <definedName name="inv_FCO_Int_ano_Tend">#REF!</definedName>
    <definedName name="inv_FCO_ODT_acum_PA">#REF!</definedName>
    <definedName name="inv_FCO_ODT_acum_Real">#REF!</definedName>
    <definedName name="inv_FCO_ODT_ano_PA">#REF!</definedName>
    <definedName name="inv_FCO_ODT_ano_Tend">#REF!</definedName>
    <definedName name="inv_FCO_OTP_acum_PA">#REF!</definedName>
    <definedName name="inv_FCO_OTP_acum_Real">#REF!</definedName>
    <definedName name="inv_FCO_OTP_ano_PA">#REF!</definedName>
    <definedName name="inv_FCO_OTP_ano_Tend">#REF!</definedName>
    <definedName name="inv_FCO_Ven_acum_PA">#REF!</definedName>
    <definedName name="inv_FCO_Ven_acum_Real">#REF!</definedName>
    <definedName name="inv_FCO_Ven_ano_PA">#REF!</definedName>
    <definedName name="inv_FCO_Ven_ano_Tend">#REF!</definedName>
    <definedName name="inv_fixo_cs_asahi">#REF!</definedName>
    <definedName name="inv_rgl_Ene_acum_PA">#REF!</definedName>
    <definedName name="inv_rgl_Ene_acum_Real">#REF!</definedName>
    <definedName name="inv_rgl_Ene_ano_PA">#REF!</definedName>
    <definedName name="inv_rgl_Ene_ano_Tend">#REF!</definedName>
    <definedName name="inv_rgl_Eng_acum_PA">#REF!</definedName>
    <definedName name="inv_rgl_Eng_acum_Real">#REF!</definedName>
    <definedName name="inv_rgl_Eng_ano_PA">#REF!</definedName>
    <definedName name="inv_rgl_Eng_ano_Tend">#REF!</definedName>
    <definedName name="inv_rgl_Inf_acum_PA">#REF!</definedName>
    <definedName name="inv_rgl_Inf_acum_Real">#REF!</definedName>
    <definedName name="inv_rgl_Inf_ano_PA">#REF!</definedName>
    <definedName name="inv_rgl_Inf_ano_Tend">#REF!</definedName>
    <definedName name="inv_rgl_Int_acum_PA">#REF!</definedName>
    <definedName name="inv_rgl_Int_acum_Real">#REF!</definedName>
    <definedName name="inv_rgl_Int_ano_PA">#REF!</definedName>
    <definedName name="inv_rgl_Int_ano_Tend">#REF!</definedName>
    <definedName name="inv_rgl_ODT_acum_PA">#REF!</definedName>
    <definedName name="inv_rgl_ODT_acum_Real">#REF!</definedName>
    <definedName name="inv_rgl_ODT_ano_PA">#REF!</definedName>
    <definedName name="inv_rgl_ODT_ano_Tend">#REF!</definedName>
    <definedName name="inv_rgl_OTP_acum_PA">#REF!</definedName>
    <definedName name="inv_rgl_OTP_acum_Real">#REF!</definedName>
    <definedName name="inv_rgl_OTP_ano_PA">#REF!</definedName>
    <definedName name="inv_rgl_OTP_ano_Tend">#REF!</definedName>
    <definedName name="inv_rgl_Ven_acum_PA">#REF!</definedName>
    <definedName name="inv_rgl_Ven_acum_Real">#REF!</definedName>
    <definedName name="inv_rgl_Ven_ano_PA">#REF!</definedName>
    <definedName name="inv_rgl_Ven_ano_Tend">#REF!</definedName>
    <definedName name="inv_rl_Ene_acum_PA">#REF!</definedName>
    <definedName name="inv_rl_Ene_acum_Real">#REF!</definedName>
    <definedName name="inv_rl_Ene_ano_PA">#REF!</definedName>
    <definedName name="inv_rl_Ene_ano_Tend">#REF!</definedName>
    <definedName name="inv_rl_Eng_acum_PA">#REF!</definedName>
    <definedName name="inv_rl_Eng_acum_Real">#REF!</definedName>
    <definedName name="inv_rl_Eng_ano_PA">#REF!</definedName>
    <definedName name="inv_rl_Eng_ano_Tend">#REF!</definedName>
    <definedName name="inv_rl_Inf_acum_PA">#REF!</definedName>
    <definedName name="inv_rl_Inf_acum_Real">#REF!</definedName>
    <definedName name="inv_rl_Inf_ano_PA">#REF!</definedName>
    <definedName name="inv_rl_Inf_ano_Tend">#REF!</definedName>
    <definedName name="inv_rl_Int_acum_PA">#REF!</definedName>
    <definedName name="inv_rl_Int_acum_Real">#REF!</definedName>
    <definedName name="inv_rl_Int_ano_PA">#REF!</definedName>
    <definedName name="inv_rl_Int_ano_Tend">#REF!</definedName>
    <definedName name="inv_rl_ODT_acum_PA">#REF!</definedName>
    <definedName name="inv_rl_ODT_acum_Real">#REF!</definedName>
    <definedName name="inv_rl_ODT_ano_PA">#REF!</definedName>
    <definedName name="inv_rl_ODT_ano_Tend">#REF!</definedName>
    <definedName name="inv_rl_OTP_acum_PA">#REF!</definedName>
    <definedName name="inv_rl_OTP_acum_Real">#REF!</definedName>
    <definedName name="inv_rl_OTP_ano_PA">#REF!</definedName>
    <definedName name="inv_rl_OTP_ano_Tend">#REF!</definedName>
    <definedName name="inv_rl_Ven_acum_PA">#REF!</definedName>
    <definedName name="inv_rl_Ven_acum_Real">#REF!</definedName>
    <definedName name="inv_rl_Ven_ano_PA">#REF!</definedName>
    <definedName name="inv_rl_Ven_ano_Tend">#REF!</definedName>
    <definedName name="inver" localSheetId="27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inver" localSheetId="0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inver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inversion" localSheetId="27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inversion" localSheetId="0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inversion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Inversión" localSheetId="27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Inversión" localSheetId="0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Inversión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inversiones" localSheetId="27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inversiones" localSheetId="0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inversiones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inversor">recuperação #REF!</definedName>
    <definedName name="inversores">recuperação #REF!</definedName>
    <definedName name="Investimentos" localSheetId="27" hidden="1">#REF!</definedName>
    <definedName name="Investimentos" localSheetId="0" hidden="1">#REF!</definedName>
    <definedName name="Investimentos" hidden="1">#REF!</definedName>
    <definedName name="Investimentos_Areas" localSheetId="27" hidden="1">#REF!</definedName>
    <definedName name="Investimentos_Areas" localSheetId="0" hidden="1">#REF!</definedName>
    <definedName name="Investimentos_Areas" hidden="1">#REF!</definedName>
    <definedName name="Investimentos_fc" localSheetId="27" hidden="1">#REF!</definedName>
    <definedName name="Investimentos_fc" localSheetId="0" hidden="1">#REF!</definedName>
    <definedName name="Investimentos_fc" hidden="1">#REF!</definedName>
    <definedName name="Investimentos_Sublanços" localSheetId="0" hidden="1">#REF!</definedName>
    <definedName name="Investimentos_Sublanços" hidden="1">#REF!</definedName>
    <definedName name="IPC_Mensal" localSheetId="0" hidden="1">#REF!</definedName>
    <definedName name="IPC_Mensal" hidden="1">#REF!</definedName>
    <definedName name="IQ_ACCOUNT_CHANGE" hidden="1">"c413"</definedName>
    <definedName name="IQ_ACCOUNTS_PAY" hidden="1">"c32"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"c8"</definedName>
    <definedName name="IQ_ACCUM_DEP" hidden="1">"c7"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"c39"</definedName>
    <definedName name="IQ_ADDIN" hidden="1">"AUTO"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IT" hidden="1">"c13"</definedName>
    <definedName name="IQ_AE_UTI" hidden="1">"c14"</definedName>
    <definedName name="IQ_ALLOW_BORROW_CONST" hidden="1">"c15"</definedName>
    <definedName name="IQ_ALLOW_CONST" hidden="1">"c16"</definedName>
    <definedName name="IQ_ALLOW_EQUITY_CONST" hidden="1">"c16"</definedName>
    <definedName name="IQ_ALLOW_LL" hidden="1">"c17"</definedName>
    <definedName name="IQ_ALLOWANCE_10YR_ANN_GROWTH" hidden="1">"c18"</definedName>
    <definedName name="IQ_ALLOWANCE_1YR_ANN_GROWTH" hidden="1">"c19"</definedName>
    <definedName name="IQ_ALLOWANCE_2YR_ANN_GROWTH" hidden="1">"c20"</definedName>
    <definedName name="IQ_ALLOWANCE_3YR_ANN_GROWTH" hidden="1">"c21"</definedName>
    <definedName name="IQ_ALLOWANCE_5YR_ANN_GROWTH" hidden="1">"c22"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"c1471"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IT" hidden="1">"c43"</definedName>
    <definedName name="IQ_AR_TURNS" hidden="1">"c44"</definedName>
    <definedName name="IQ_AR_UTI" hidden="1">"c45"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IT" hidden="1">"c60"</definedName>
    <definedName name="IQ_ASSET_WRITEDOWN_UTI" hidden="1">"c61"</definedName>
    <definedName name="IQ_AUDITOR_NAME" hidden="1">"c1539"</definedName>
    <definedName name="IQ_AUDITOR_OPINION" hidden="1">"c1540"</definedName>
    <definedName name="IQ_AUTO_WRITTEN" hidden="1">"c62"</definedName>
    <definedName name="IQ_AVG_BROKER_REC" hidden="1">"c63"</definedName>
    <definedName name="IQ_AVG_BROKER_REC_NO" hidden="1">"c64"</definedName>
    <definedName name="IQ_AVG_DAILY_VOL" hidden="1">"c65"</definedName>
    <definedName name="IQ_AVG_INT_BEAR_LIAB" hidden="1">"c66"</definedName>
    <definedName name="IQ_AVG_INT_BEAR_LIAB_10YR_ANN_GROWTH" hidden="1">"c67"</definedName>
    <definedName name="IQ_AVG_INT_BEAR_LIAB_1YR_ANN_GROWTH" hidden="1">"c68"</definedName>
    <definedName name="IQ_AVG_INT_BEAR_LIAB_2YR_ANN_GROWTH" hidden="1">"c69"</definedName>
    <definedName name="IQ_AVG_INT_BEAR_LIAB_3YR_ANN_GROWTH" hidden="1">"c70"</definedName>
    <definedName name="IQ_AVG_INT_BEAR_LIAB_5YR_ANN_GROWTH" hidden="1">"c71"</definedName>
    <definedName name="IQ_AVG_INT_BEAR_LIAB_7YR_ANN_GROWTH" hidden="1">"c72"</definedName>
    <definedName name="IQ_AVG_INT_EARN_ASSETS" hidden="1">"c73"</definedName>
    <definedName name="IQ_AVG_INT_EARN_ASSETS_10YR_ANN_GROWTH" hidden="1">"c74"</definedName>
    <definedName name="IQ_AVG_INT_EARN_ASSETS_1YR_ANN_GROWTH" hidden="1">"c75"</definedName>
    <definedName name="IQ_AVG_INT_EARN_ASSETS_2YR_ANN_GROWTH" hidden="1">"c76"</definedName>
    <definedName name="IQ_AVG_INT_EARN_ASSETS_3YR_ANN_GROWTH" hidden="1">"c77"</definedName>
    <definedName name="IQ_AVG_INT_EARN_ASSETS_5YR_ANN_GROWTH" hidden="1">"c78"</definedName>
    <definedName name="IQ_AVG_INT_EARN_ASSETS_7YR_ANN_GROWTH" hidden="1">"c79"</definedName>
    <definedName name="IQ_AVG_MKTCAP" hidden="1">"c80"</definedName>
    <definedName name="IQ_AVG_PRICE" hidden="1">"c81"</definedName>
    <definedName name="IQ_AVG_PRICE_TARGET" hidden="1">"c82"</definedName>
    <definedName name="IQ_AVG_SHAREOUTSTANDING" hidden="1">"c83"</definedName>
    <definedName name="IQ_AVG_TEV" hidden="1">"c84"</definedName>
    <definedName name="IQ_AVG_VOLUME" hidden="1">"c65"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TA" hidden="1">"c88"</definedName>
    <definedName name="IQ_BIG_INT_BEAR_CD" hidden="1">"c89"</definedName>
    <definedName name="IQ_BOARD_MEMBER" hidden="1">"c96"</definedName>
    <definedName name="IQ_BOARD_MEMBER_TITLE" hidden="1">"c97"</definedName>
    <definedName name="IQ_BROK_COMISSION" hidden="1">"c98"</definedName>
    <definedName name="IQ_BUILDINGS" hidden="1">"c99"</definedName>
    <definedName name="IQ_BUSINESS_DESCRIPTION" hidden="1">"c322"</definedName>
    <definedName name="IQ_BV_OVER_SHARES" hidden="1">"c100"</definedName>
    <definedName name="IQ_BV_SHARE" hidden="1">"c100"</definedName>
    <definedName name="IQ_CAL_Q" hidden="1">"c101"</definedName>
    <definedName name="IQ_CAL_Y" hidden="1">"c102"</definedName>
    <definedName name="IQ_CAPEX" hidden="1">"c103"</definedName>
    <definedName name="IQ_CAPEX_10YR_ANN_GROWTH" hidden="1">"c104"</definedName>
    <definedName name="IQ_CAPEX_1YR_ANN_GROWTH" hidden="1">"c105"</definedName>
    <definedName name="IQ_CAPEX_2YR_ANN_GROWTH" hidden="1">"c106"</definedName>
    <definedName name="IQ_CAPEX_3YR_ANN_GROWTH" hidden="1">"c107"</definedName>
    <definedName name="IQ_CAPEX_5YR_ANN_GROWTH" hidden="1">"c108"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"c115"</definedName>
    <definedName name="IQ_CAPITAL_LEASES" hidden="1">"c115"</definedName>
    <definedName name="IQ_CASH" hidden="1">"c118"</definedName>
    <definedName name="IQ_CASH_ACQUIRE_CF" hidden="1">"c1630"</definedName>
    <definedName name="IQ_CASH_CONVERSION" hidden="1">"c117"</definedName>
    <definedName name="IQ_CASH_DUE_BANKS" hidden="1">"c118"</definedName>
    <definedName name="IQ_CASH_EQUIV" hidden="1">"c118"</definedName>
    <definedName name="IQ_CASH_FINAN" hidden="1">"c119"</definedName>
    <definedName name="IQ_CASH_INTEREST" hidden="1">"c120"</definedName>
    <definedName name="IQ_CASH_INVEST" hidden="1">"c121"</definedName>
    <definedName name="IQ_CASH_OPER" hidden="1">"c122"</definedName>
    <definedName name="IQ_CASH_SEGREG" hidden="1">"c123"</definedName>
    <definedName name="IQ_CASH_ST" hidden="1">"c124"</definedName>
    <definedName name="IQ_CASH_ST_INVEST" hidden="1">"c124"</definedName>
    <definedName name="IQ_CASH_TAXES" hidden="1">"c125"</definedName>
    <definedName name="IQ_CFO_10YR_ANN_GROWTH" hidden="1">"c126"</definedName>
    <definedName name="IQ_CFO_1YR_ANN_GROWTH" hidden="1">"c127"</definedName>
    <definedName name="IQ_CFO_2YR_ANN_GROWTH" hidden="1">"c128"</definedName>
    <definedName name="IQ_CFO_3YR_ANN_GROWTH" hidden="1">"c129"</definedName>
    <definedName name="IQ_CFO_5YR_ANN_GROWTH" hidden="1">"c130"</definedName>
    <definedName name="IQ_CFO_7YR_ANN_GROWTH" hidden="1">"c131"</definedName>
    <definedName name="IQ_CFO_CURRENT_LIAB" hidden="1">"c132"</definedName>
    <definedName name="IQ_CH" hidden="1">110000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"c161"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OSEPRICE" hidden="1">"c174"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IT" hidden="1">"c188"</definedName>
    <definedName name="IQ_COMMON_APIC_UTI" hidden="1">"c189"</definedName>
    <definedName name="IQ_COMMON_DIV_CF" hidden="1">"c190"</definedName>
    <definedName name="IQ_COMMON_EQUITY_10YR_ANN_GROWTH" hidden="1">"c191"</definedName>
    <definedName name="IQ_COMMON_EQUITY_1YR_ANN_GROWTH" hidden="1">"c192"</definedName>
    <definedName name="IQ_COMMON_EQUITY_2YR_ANN_GROWTH" hidden="1">"c193"</definedName>
    <definedName name="IQ_COMMON_EQUITY_3YR_ANN_GROWTH" hidden="1">"c194"</definedName>
    <definedName name="IQ_COMMON_EQUITY_5YR_ANN_GROWTH" hidden="1">"c195"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IT" hidden="1">"c211"</definedName>
    <definedName name="IQ_COMMON_REP_UTI" hidden="1">"c212"</definedName>
    <definedName name="IQ_COMMON_STOCK" hidden="1">"c182"</definedName>
    <definedName name="IQ_COMP_BENEFITS" hidden="1">"c213"</definedName>
    <definedName name="IQ_COMPANY_ADDRESS" hidden="1">"c214"</definedName>
    <definedName name="IQ_COMPANY_NAME" hidden="1">"c215"</definedName>
    <definedName name="IQ_COMPANY_NAME_LONG" hidden="1">"c1585"</definedName>
    <definedName name="IQ_COMPANY_PHONE" hidden="1">"c216"</definedName>
    <definedName name="IQ_COMPANY_STREET1" hidden="1">"c217"</definedName>
    <definedName name="IQ_COMPANY_STREET2" hidden="1">"c218"</definedName>
    <definedName name="IQ_COMPANY_TICKER" hidden="1">"c219"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NTRACTS_OTHER_COMMODITIES_EQUITIES._FDIC" hidden="1">"c6522"</definedName>
    <definedName name="IQ_COST_BORROWINGS" hidden="1">"c225"</definedName>
    <definedName name="IQ_COST_REV" hidden="1">"c226"</definedName>
    <definedName name="IQ_COST_REVENUE" hidden="1">"c226"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Q" hidden="1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IT" hidden="1">"c1570"</definedName>
    <definedName name="IQ_CURRENT_PORT_DEBT_UTI" hidden="1">"c1571"</definedName>
    <definedName name="IQ_CURRENT_PORT_LEASES" hidden="1">"c245"</definedName>
    <definedName name="IQ_CURRENT_RATIO" hidden="1">"c246"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IT" hidden="1">"c254"</definedName>
    <definedName name="IQ_DA_CF_UTI" hidden="1">"c255"</definedName>
    <definedName name="IQ_DA_FIN" hidden="1">"c256"</definedName>
    <definedName name="IQ_DA_INS" hidden="1">"c257"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IT" hidden="1">"c270"</definedName>
    <definedName name="IQ_DA_SUPPL_UTI" hidden="1">"c271"</definedName>
    <definedName name="IQ_DA_UTI" hidden="1">"c272"</definedName>
    <definedName name="IQ_DAYS_COVER_SHORT" hidden="1">"c1578"</definedName>
    <definedName name="IQ_DAYS_INVENTORY_OUT" hidden="1">"c273"</definedName>
    <definedName name="IQ_DAYS_PAY_OUTST" hidden="1">"c274"</definedName>
    <definedName name="IQ_DAYS_PAYABLE_OUT" hidden="1">"c274"</definedName>
    <definedName name="IQ_DAYS_SALES_OUT" hidden="1">"c275"</definedName>
    <definedName name="IQ_DAYS_SALES_OUTST" hidden="1">"c275"</definedName>
    <definedName name="IQ_DEF_ACQ_CST" hidden="1">"c301"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OTHER_COST" hidden="1">"c284"</definedName>
    <definedName name="IQ_DEF_BENEFIT_ROA" hidden="1">"c285"</definedName>
    <definedName name="IQ_DEF_BENEFIT_SERVICE_COST" hidden="1">"c286"</definedName>
    <definedName name="IQ_DEF_BENEFIT_TOTAL_COST" hidden="1">"c287"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IT" hidden="1">"c297"</definedName>
    <definedName name="IQ_DEF_CHARGES_LT_UTI" hidden="1">"c298"</definedName>
    <definedName name="IQ_DEF_CHARGES_REIT" hidden="1">"c299"</definedName>
    <definedName name="IQ_DEF_CONTRIBUTION_TOTAL_COST" hidden="1">"c300"</definedName>
    <definedName name="IQ_DEF_INC_TAX" hidden="1">"c313"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IT" hidden="1">"c318"</definedName>
    <definedName name="IQ_DEF_TAX_LIAB_LT_UTI" hidden="1">"c319"</definedName>
    <definedName name="IQ_DEFERRED_INC_TAX" hidden="1">"c315"</definedName>
    <definedName name="IQ_DEFERRED_TAXES" hidden="1">"c147"</definedName>
    <definedName name="IQ_DEMAND_DEP" hidden="1">"c320"</definedName>
    <definedName name="IQ_DEPOSITS_FIN" hidden="1">"c321"</definedName>
    <definedName name="IQ_DEPRE_AMORT" hidden="1">"c247"</definedName>
    <definedName name="IQ_DEPRE_AMORT_SUPPL" hidden="1">"c1593"</definedName>
    <definedName name="IQ_DEPRE_DEPLE" hidden="1">"c261"</definedName>
    <definedName name="IQ_DEPRE_SUPP" hidden="1">"c1443"</definedName>
    <definedName name="IQ_DESCRIPTION_LONG" hidden="1">"c322"</definedName>
    <definedName name="IQ_DEVELOP_LAND" hidden="1">"c323"</definedName>
    <definedName name="IQ_DILUT_ADJUST" hidden="1">"c1621"</definedName>
    <definedName name="IQ_DILUT_EPS_EXCL" hidden="1">"c324"</definedName>
    <definedName name="IQ_DILUT_EPS_INCL" hidden="1">"c325"</definedName>
    <definedName name="IQ_DILUT_NORMAL_EPS" hidden="1">"c1594"</definedName>
    <definedName name="IQ_DILUT_WEIGHT" hidden="1">"c326"</definedName>
    <definedName name="IQ_DISCONT_OPER" hidden="1">"c333"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V_SHARE" hidden="1">"c330"</definedName>
    <definedName name="IQ_DIVEST_CF" hidden="1">"c331"</definedName>
    <definedName name="IQ_DIVID_SHARE" hidden="1">"c330"</definedName>
    <definedName name="IQ_DIVIDEND_YIELD" hidden="1">"c332"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S_10YR_ANN_GROWTH" hidden="1">"c337"</definedName>
    <definedName name="IQ_DPS_1YR_ANN_GROWTH" hidden="1">"c338"</definedName>
    <definedName name="IQ_DPS_2YR_ANN_GROWTH" hidden="1">"c339"</definedName>
    <definedName name="IQ_DPS_3YR_ANN_GROWTH" hidden="1">"c340"</definedName>
    <definedName name="IQ_DPS_5YR_ANN_GROWTH" hidden="1">"c341"</definedName>
    <definedName name="IQ_DPS_7YR_ANN_GROWTH" hidden="1">"c342"</definedName>
    <definedName name="IQ_EARNING_ASSET_YIELD" hidden="1">"c343"</definedName>
    <definedName name="IQ_EARNING_CO" hidden="1">"c344"</definedName>
    <definedName name="IQ_EARNING_CO_10YR_ANN_GROWTH" hidden="1">"c345"</definedName>
    <definedName name="IQ_EARNING_CO_1YR_ANN_GROWTH" hidden="1">"c346"</definedName>
    <definedName name="IQ_EARNING_CO_2YR_ANN_GROWTH" hidden="1">"c347"</definedName>
    <definedName name="IQ_EARNING_CO_3YR_ANN_GROWTH" hidden="1">"c348"</definedName>
    <definedName name="IQ_EARNING_CO_5YR_ANN_GROWTH" hidden="1">"c349"</definedName>
    <definedName name="IQ_EARNING_CO_7YR_ANN_GROWTH" hidden="1">"c350"</definedName>
    <definedName name="IQ_EARNING_CO_MARGIN" hidden="1">"c351"</definedName>
    <definedName name="IQ_EBIT" hidden="1">"c352"</definedName>
    <definedName name="IQ_EBIT_10YR_ANN_GROWTH" hidden="1">"c353"</definedName>
    <definedName name="IQ_EBIT_1YR_ANN_GROWTH" hidden="1">"c354"</definedName>
    <definedName name="IQ_EBIT_2YR_ANN_GROWTH" hidden="1">"c355"</definedName>
    <definedName name="IQ_EBIT_3YR_ANN_GROWTH" hidden="1">"c356"</definedName>
    <definedName name="IQ_EBIT_5YR_ANN_GROWTH" hidden="1">"c357"</definedName>
    <definedName name="IQ_EBIT_7YR_ANN_GROWTH" hidden="1">"c358"</definedName>
    <definedName name="IQ_EBIT_INT" hidden="1">"c360"</definedName>
    <definedName name="IQ_EBIT_MARGIN" hidden="1">"c359"</definedName>
    <definedName name="IQ_EBIT_OVER_IE" hidden="1">"c360"</definedName>
    <definedName name="IQ_EBITDA" hidden="1">"c361"</definedName>
    <definedName name="IQ_EBITDA_10YR_ANN_GROWTH" hidden="1">"c362"</definedName>
    <definedName name="IQ_EBITDA_1YR_ANN_GROWTH" hidden="1">"c363"</definedName>
    <definedName name="IQ_EBITDA_2YR_ANN_GROWTH" hidden="1">"c364"</definedName>
    <definedName name="IQ_EBITDA_3YR_ANN_GROWTH" hidden="1">"c365"</definedName>
    <definedName name="IQ_EBITDA_5YR_ANN_GROWTH" hidden="1">"c366"</definedName>
    <definedName name="IQ_EBITDA_7YR_ANN_GROWTH" hidden="1">"c367"</definedName>
    <definedName name="IQ_EBITDA_CAPEX_INT" hidden="1">"c368"</definedName>
    <definedName name="IQ_EBITDA_CAPEX_OVER_TOTAL_IE" hidden="1">"c368"</definedName>
    <definedName name="IQ_EBITDA_INT" hidden="1">"c373"</definedName>
    <definedName name="IQ_EBITDA_MARGIN" hidden="1">"c372"</definedName>
    <definedName name="IQ_EBITDA_OVER_TOTAL_IE" hidden="1">"c373"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IT" hidden="1">"c384"</definedName>
    <definedName name="IQ_EBT_EXCL_UTI" hidden="1">"c385"</definedName>
    <definedName name="IQ_EBT_FIN" hidden="1">"c386"</definedName>
    <definedName name="IQ_EBT_INS" hidden="1">"c388"</definedName>
    <definedName name="IQ_EBT_REIT" hidden="1">"c389"</definedName>
    <definedName name="IQ_EBT_UTI" hidden="1">"c390"</definedName>
    <definedName name="IQ_EFFECT_SPECIAL_CHARGE" hidden="1">"c1595"</definedName>
    <definedName name="IQ_EFFICIENCY_RATIO" hidden="1">"c391"</definedName>
    <definedName name="IQ_EMPLOYEES" hidden="1">"c392"</definedName>
    <definedName name="IQ_ENTERPRISE_VALUE" hidden="1">"c84"</definedName>
    <definedName name="IQ_EPS_10YR_ANN_GROWTH" hidden="1">"c393"</definedName>
    <definedName name="IQ_EPS_1YR_ANN_GROWTH" hidden="1">"c394"</definedName>
    <definedName name="IQ_EPS_2YR_ANN_GROWTH" hidden="1">"c395"</definedName>
    <definedName name="IQ_EPS_3YR_ANN_GROWTH" hidden="1">"c396"</definedName>
    <definedName name="IQ_EPS_5YR_ANN_GROWTH" hidden="1">"c397"</definedName>
    <definedName name="IQ_EPS_7YR_ANN_GROWTH" hidden="1">"c398"</definedName>
    <definedName name="IQ_EPS_EST" hidden="1">"c399"</definedName>
    <definedName name="IQ_EQUITY_AFFIL" hidden="1">"c552"</definedName>
    <definedName name="IQ_EQUITY_METHOD" hidden="1">"c404"</definedName>
    <definedName name="IQ_EQV_OVER_BV" hidden="1">"c1596"</definedName>
    <definedName name="IQ_EQV_OVER_LTM_PRETAX_INC" hidden="1">"c739"</definedName>
    <definedName name="IQ_ESOP_DEBT" hidden="1">"c1597"</definedName>
    <definedName name="IQ_EST_ACT_EPS" hidden="1">"c1648"</definedName>
    <definedName name="IQ_EST_DATE" hidden="1">"c1634"</definedName>
    <definedName name="IQ_EST_EPS_GROWTH_1YR" hidden="1">"c1636"</definedName>
    <definedName name="IQ_EST_EPS_GROWTH_Q_1YR" hidden="1">"c1641"</definedName>
    <definedName name="IQ_EV_OVER_EMPLOYEE" hidden="1">"c1225"</definedName>
    <definedName name="IQ_EV_OVER_LTM_EBIT" hidden="1">"c1221"</definedName>
    <definedName name="IQ_EV_OVER_LTM_EBITDA" hidden="1">"c1223"</definedName>
    <definedName name="IQ_EV_OVER_LTM_REVENUE" hidden="1">"c1227"</definedName>
    <definedName name="IQ_EXCHANGE" hidden="1">"c405"</definedName>
    <definedName name="IQ_EXERCISE_PRICE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IT" hidden="1">"c415"</definedName>
    <definedName name="IQ_EXTRA_ACC_ITEMS_UTI" hidden="1">"c416"</definedName>
    <definedName name="IQ_EXTRA_ITEMS" hidden="1">"c413"</definedName>
    <definedName name="IQ_FDIC" hidden="1">"c417"</definedName>
    <definedName name="IQ_FFO" hidden="1">"c1574"</definedName>
    <definedName name="IQ_FH" hidden="1">100000</definedName>
    <definedName name="IQ_FHLB_DEBT" hidden="1">"c423"</definedName>
    <definedName name="IQ_FILINGDATE_BS" hidden="1">"c424"</definedName>
    <definedName name="IQ_FILINGDATE_CF" hidden="1">"c425"</definedName>
    <definedName name="IQ_FILINGDATE_IS" hidden="1">"c426"</definedName>
    <definedName name="IQ_FIN_DIV_ASSETS_CURRENT" hidden="1">"c427"</definedName>
    <definedName name="IQ_FIN_DIV_ASSETS_LT" hidden="1">"c428"</definedName>
    <definedName name="IQ_FIN_DIV_DEBT_CURRENT" hidden="1">"c429"</definedName>
    <definedName name="IQ_FIN_DIV_DEBT_LT" hidden="1">"c430"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REV" hidden="1">"c437"</definedName>
    <definedName name="IQ_FINANCING_CASH" hidden="1">"c893"</definedName>
    <definedName name="IQ_FINANCING_CASH_SUPPL" hidden="1">"c899"</definedName>
    <definedName name="IQ_FINISHED_INV" hidden="1">"c438"</definedName>
    <definedName name="IQ_FIRST_YEAR_LIFE" hidden="1">"c439"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BRANCHES_U.S._BANKS_LOANS_FDIC" hidden="1">"c6438"</definedName>
    <definedName name="IQ_FOREIGN_DEP_IB" hidden="1">"c446"</definedName>
    <definedName name="IQ_FOREIGN_DEP_NON_IB" hidden="1">"c447"</definedName>
    <definedName name="IQ_FOREIGN_EXCHANGE" hidden="1">"c451"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 hidden="1">1000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"c452"</definedName>
    <definedName name="IQ_GOODWILL_NET" hidden="1">"c530"</definedName>
    <definedName name="IQ_GP" hidden="1">"c511"</definedName>
    <definedName name="IQ_GP_10YR_ANN_GROWTH" hidden="1">"c512"</definedName>
    <definedName name="IQ_GP_1YR_ANN_GROWTH" hidden="1">"c513"</definedName>
    <definedName name="IQ_GP_2YR_ANN_GROWTH" hidden="1">"c514"</definedName>
    <definedName name="IQ_GP_3YR_ANN_GROWTH" hidden="1">"c515"</definedName>
    <definedName name="IQ_GP_5YR_ANN_GROWTH" hidden="1">"c516"</definedName>
    <definedName name="IQ_GP_7YR_ANN_GROWTH" hidden="1">"c517"</definedName>
    <definedName name="IQ_GPPE" hidden="1">"c518"</definedName>
    <definedName name="IQ_GROSS_DIVID" hidden="1">"c192"</definedName>
    <definedName name="IQ_GROSS_LOANS" hidden="1">"c521"</definedName>
    <definedName name="IQ_GROSS_LOANS_10YR_ANN_GROWTH" hidden="1">"c522"</definedName>
    <definedName name="IQ_GROSS_LOANS_1YR_ANN_GROWTH" hidden="1">"c523"</definedName>
    <definedName name="IQ_GROSS_LOANS_2YR_ANN_GROWTH" hidden="1">"c524"</definedName>
    <definedName name="IQ_GROSS_LOANS_3YR_ANN_GROWTH" hidden="1">"c525"</definedName>
    <definedName name="IQ_GROSS_LOANS_5YR_ANN_GROWTH" hidden="1">"c526"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ROFIT" hidden="1">"c511"</definedName>
    <definedName name="IQ_GW" hidden="1">"c530"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IT" hidden="1">"c1480"</definedName>
    <definedName name="IQ_GW_INTAN_AMORT_UTI" hidden="1">"c1481"</definedName>
    <definedName name="IQ_HIGHPRICE" hidden="1">"c545"</definedName>
    <definedName name="IQ_HOMEOWNERS_WRITTEN" hidden="1">"c546"</definedName>
    <definedName name="IQ_IMPAIR_OIL" hidden="1">"c547"</definedName>
    <definedName name="IQ_IMPAIRMENT_GW" hidden="1">"c548"</definedName>
    <definedName name="IQ_INC_AFTER_TAX" hidden="1">"c1598"</definedName>
    <definedName name="IQ_INC_AVAIL_EXCL" hidden="1">"c789"</definedName>
    <definedName name="IQ_INC_AVAIL_INCL" hidden="1">"c791"</definedName>
    <definedName name="IQ_INC_BEFORE_TAX" hidden="1">"c386"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S_ANNUITY_LIAB" hidden="1">"c563"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S" hidden="1">"c589"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"c907"</definedName>
    <definedName name="IQ_INTEREST_EXP" hidden="1">"c618"</definedName>
    <definedName name="IQ_INTEREST_EXP_NET" hidden="1">"c1450"</definedName>
    <definedName name="IQ_INTEREST_EXP_NON" hidden="1">"c618"</definedName>
    <definedName name="IQ_INTEREST_EXP_SUPPL" hidden="1">"c1460"</definedName>
    <definedName name="IQ_INTEREST_INC" hidden="1">"c769"</definedName>
    <definedName name="IQ_INTEREST_INC_NON" hidden="1">"c619"</definedName>
    <definedName name="IQ_INTEREST_INVEST_INC" hidden="1">"c619"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IT" hidden="1">"c633"</definedName>
    <definedName name="IQ_INVEST_LOANS_CF_UTI" hidden="1">"c634"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IT" hidden="1">"c642"</definedName>
    <definedName name="IQ_INVEST_SECURITY_CF_UTI" hidden="1">"c643"</definedName>
    <definedName name="IQ_IPRD" hidden="1">"c644"</definedName>
    <definedName name="IQ_ISS_DEBT_NET" hidden="1">"c751"</definedName>
    <definedName name="IQ_ISS_STOCK_NET" hidden="1">"c1601"</definedName>
    <definedName name="IQ_LAND" hidden="1">"c645"</definedName>
    <definedName name="IQ_LASTSALEPRICE" hidden="1">"c646"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IT" hidden="1">"c652"</definedName>
    <definedName name="IQ_LEGAL_SETTLE_UTI" hidden="1">"c653"</definedName>
    <definedName name="IQ_LEVERAGE_RATIO" hidden="1">"c654"</definedName>
    <definedName name="IQ_LIFOR" hidden="1">"c655"</definedName>
    <definedName name="IQ_LL" hidden="1">"c656"</definedName>
    <definedName name="IQ_LOAN_LEASE_RECEIV" hidden="1">"c657"</definedName>
    <definedName name="IQ_LOAN_LOSS" hidden="1">"c656"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"c674"</definedName>
    <definedName name="IQ_LONG_TERM_DEBT_OVER_TOTAL_CAP" hidden="1">"c677"</definedName>
    <definedName name="IQ_LONG_TERM_GROWTH" hidden="1">"c671"</definedName>
    <definedName name="IQ_LONG_TERM_INV" hidden="1">"c697"</definedName>
    <definedName name="IQ_LOSS_LOSS_EXP" hidden="1">"c672"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IT" hidden="1">"c686"</definedName>
    <definedName name="IQ_LT_DEBT_ISSUED_UTI" hidden="1">"c687"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"c1304"</definedName>
    <definedName name="IQ_MACHINERY" hidden="1">"c711"</definedName>
    <definedName name="IQ_MARKETCAP" hidden="1">"c712"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IT" hidden="1">"c734"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M_ACCOUNT" hidden="1">"c743"</definedName>
    <definedName name="IQ_MONTH" hidden="1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NAMES_REVISION_DATE_" hidden="1">40210.5739814815</definedName>
    <definedName name="IQ_NET_CHANGE" hidden="1">"c749"</definedName>
    <definedName name="IQ_NET_DEBT" hidden="1">"c1584"</definedName>
    <definedName name="IQ_NET_DEBT_EBITDA" hidden="1">"c750"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IT" hidden="1">"c756"</definedName>
    <definedName name="IQ_NET_DEBT_ISSUED_UTI" hidden="1">"c757"</definedName>
    <definedName name="IQ_NET_INC" hidden="1">"c781"</definedName>
    <definedName name="IQ_NET_INC_BEFORE" hidden="1">"c344"</definedName>
    <definedName name="IQ_NET_INC_CF" hidden="1">"c793"</definedName>
    <definedName name="IQ_NET_INC_MARGIN" hidden="1">"c794"</definedName>
    <definedName name="IQ_NET_INT_INC_10YR_ANN_GROWTH" hidden="1">"c758"</definedName>
    <definedName name="IQ_NET_INT_INC_1YR_ANN_GROWTH" hidden="1">"c759"</definedName>
    <definedName name="IQ_NET_INT_INC_2YR_ANN_GROWTH" hidden="1">"c760"</definedName>
    <definedName name="IQ_NET_INT_INC_3YR_ANN_GROWTH" hidden="1">"c761"</definedName>
    <definedName name="IQ_NET_INT_INC_5YR_ANN_GROWTH" hidden="1">"c762"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IT" hidden="1">"c770"</definedName>
    <definedName name="IQ_NET_INTEREST_EXP_UTI" hidden="1">"c771"</definedName>
    <definedName name="IQ_NET_INTEREST_INC" hidden="1">"c764"</definedName>
    <definedName name="IQ_NET_INTEREST_INC_AFTER_LL" hidden="1">"c1604"</definedName>
    <definedName name="IQ_NET_LOANS" hidden="1">"c772"</definedName>
    <definedName name="IQ_NET_LOANS_10YR_ANN_GROWTH" hidden="1">"c773"</definedName>
    <definedName name="IQ_NET_LOANS_1YR_ANN_GROWTH" hidden="1">"c774"</definedName>
    <definedName name="IQ_NET_LOANS_2YR_ANN_GROWTH" hidden="1">"c775"</definedName>
    <definedName name="IQ_NET_LOANS_3YR_ANN_GROWTH" hidden="1">"c776"</definedName>
    <definedName name="IQ_NET_LOANS_5YR_ANN_GROWTH" hidden="1">"c777"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I" hidden="1">"c781"</definedName>
    <definedName name="IQ_NI_10YR_ANN_GROWTH" hidden="1">"c782"</definedName>
    <definedName name="IQ_NI_1YR_ANN_GROWTH" hidden="1">"c783"</definedName>
    <definedName name="IQ_NI_2YR_ANN_GROWTH" hidden="1">"c784"</definedName>
    <definedName name="IQ_NI_3YR_ANN_GROWTH" hidden="1">"c785"</definedName>
    <definedName name="IQ_NI_5YR_ANN_GROWTH" hidden="1">"c786"</definedName>
    <definedName name="IQ_NI_7YR_ANN_GROWTH" hidden="1">"c787"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MARGIN" hidden="1">"c794"</definedName>
    <definedName name="IQ_NI_SFAS" hidden="1">"c795"</definedName>
    <definedName name="IQ_NON_ACCRUAL_LOANS" hidden="1">"c796"</definedName>
    <definedName name="IQ_NON_CASH" hidden="1">"c797"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GROWTH" hidden="1">"c803"</definedName>
    <definedName name="IQ_NON_INT_INC_1YR_ANN_GROWTH" hidden="1">"c804"</definedName>
    <definedName name="IQ_NON_INT_INC_2YR_ANN_GROWTH" hidden="1">"c805"</definedName>
    <definedName name="IQ_NON_INT_INC_3YR_ANN_GROWTH" hidden="1">"c806"</definedName>
    <definedName name="IQ_NON_INT_INC_5YR_ANN_GROWTH" hidden="1">"c807"</definedName>
    <definedName name="IQ_NON_INT_INC_7YR_ANN_GROWTH" hidden="1">"c808"</definedName>
    <definedName name="IQ_NON_INTEREST_EXP" hidden="1">"c801"</definedName>
    <definedName name="IQ_NON_INTEREST_INC" hidden="1">"c802"</definedName>
    <definedName name="IQ_NON_OPER_EXP" hidden="1">"c809"</definedName>
    <definedName name="IQ_NON_OPER_INC" hidden="1">"c810"</definedName>
    <definedName name="IQ_NON_PERF_ASSETS_10YR_ANN_GROWTH" hidden="1">"c811"</definedName>
    <definedName name="IQ_NON_PERF_ASSETS_1YR_ANN_GROWTH" hidden="1">"c812"</definedName>
    <definedName name="IQ_NON_PERF_ASSETS_2YR_ANN_GROWTH" hidden="1">"c813"</definedName>
    <definedName name="IQ_NON_PERF_ASSETS_3YR_ANN_GROWTH" hidden="1">"c814"</definedName>
    <definedName name="IQ_NON_PERF_ASSETS_5YR_ANN_GROWTH" hidden="1">"c815"</definedName>
    <definedName name="IQ_NON_PERF_ASSETS_7YR_ANN_GROWTH" hidden="1">"c816"</definedName>
    <definedName name="IQ_NON_PERF_ASSETS_TOTAL_ASSETS" hidden="1">"c817"</definedName>
    <definedName name="IQ_NON_PERF_LOANS_10YR_ANN_GROWTH" hidden="1">"c818"</definedName>
    <definedName name="IQ_NON_PERF_LOANS_1YR_ANN_GROWTH" hidden="1">"c819"</definedName>
    <definedName name="IQ_NON_PERF_LOANS_2YR_ANN_GROWTH" hidden="1">"c820"</definedName>
    <definedName name="IQ_NON_PERF_LOANS_3YR_ANN_GROWTH" hidden="1">"c821"</definedName>
    <definedName name="IQ_NON_PERF_LOANS_5YR_ANN_GROWTH" hidden="1">"c822"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"c1176"</definedName>
    <definedName name="IQ_NOW_ACCOUNT" hidden="1">"c828"</definedName>
    <definedName name="IQ_NPPE" hidden="1">"c829"</definedName>
    <definedName name="IQ_NPPE_10YR_ANN_GROWTH" hidden="1">"c830"</definedName>
    <definedName name="IQ_NPPE_1YR_ANN_GROWTH" hidden="1">"c831"</definedName>
    <definedName name="IQ_NPPE_2YR_ANN_GROWTH" hidden="1">"c832"</definedName>
    <definedName name="IQ_NPPE_3YR_ANN_GROWTH" hidden="1">"c833"</definedName>
    <definedName name="IQ_NPPE_5YR_ANN_GROWTH" hidden="1">"c834"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OCCUPY_EXP" hidden="1">"c839"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NPRICE" hidden="1">"c848"</definedName>
    <definedName name="IQ_OPER_INC" hidden="1">"c849"</definedName>
    <definedName name="IQ_OPER_INC_BR" hidden="1">"c850"</definedName>
    <definedName name="IQ_OPER_INC_FIN" hidden="1">"c851"</definedName>
    <definedName name="IQ_OPER_INC_INS" hidden="1">"c852"</definedName>
    <definedName name="IQ_OPER_INC_MARGIN" hidden="1">"c362"</definedName>
    <definedName name="IQ_OPER_INC_REIT" hidden="1">"c853"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ISSUED" hidden="1">"c857"</definedName>
    <definedName name="IQ_OTHER_ADJUST_GROSS_LOANS" hidden="1">"c859"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IT" hidden="1">"c865"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"c868"</definedName>
    <definedName name="IQ_OTHER_CURRENT_LIAB" hidden="1">"c877"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"c916"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IT" hidden="1">"c940"</definedName>
    <definedName name="IQ_OTHER_LIAB_LT_UTI" hidden="1">"c941"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"c946"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IT" hidden="1">"c951"</definedName>
    <definedName name="IQ_OTHER_LT_ASSETS_UTI" hidden="1">"c952"</definedName>
    <definedName name="IQ_OTHER_NET" hidden="1">"c959"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"c1010"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UTSTANDING_BS_DATE" hidden="1">"c1022"</definedName>
    <definedName name="IQ_OUTSTANDING_FILING_DATE" hidden="1">"c1023"</definedName>
    <definedName name="IQ_PART_TIME" hidden="1">"c1024"</definedName>
    <definedName name="IQ_PAY_ACCRUED" hidden="1">"c8"</definedName>
    <definedName name="IQ_PBV" hidden="1">"c1025"</definedName>
    <definedName name="IQ_PBV_AVG" hidden="1">"c1026"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RATIO" hidden="1">"c1610"</definedName>
    <definedName name="IQ_PENSION" hidden="1">"c1031"</definedName>
    <definedName name="IQ_PERIODDATE" hidden="1">"c1034"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RE_OPEN_COST" hidden="1">"c1040"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IT" hidden="1">"c1058"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IT" hidden="1">"c1065"</definedName>
    <definedName name="IQ_PREF_REP_UTI" hidden="1">"c1066"</definedName>
    <definedName name="IQ_PREF_STOCK" hidden="1">"c1052"</definedName>
    <definedName name="IQ_PREF_TOT" hidden="1">"c1044"</definedName>
    <definedName name="IQ_PREMIUMS_ANNUITY_REV" hidden="1">"c1067"</definedName>
    <definedName name="IQ_PREPAID_EXP" hidden="1">"c1068"</definedName>
    <definedName name="IQ_PREPAID_EXPEN" hidden="1">"c1068"</definedName>
    <definedName name="IQ_PRICE_OVER_BVPS" hidden="1">"c1026"</definedName>
    <definedName name="IQ_PRICE_OVER_LTM_EPS" hidden="1">"c1029"</definedName>
    <definedName name="IQ_PRICEDATE" hidden="1">"c1069"</definedName>
    <definedName name="IQ_PRICING_DATE" hidden="1">"c1613"</definedName>
    <definedName name="IQ_PRIMARY_INDUSTRY" hidden="1">"c1070"</definedName>
    <definedName name="IQ_PRO_FORMA_BASIC_EPS" hidden="1">"c1614"</definedName>
    <definedName name="IQ_PRO_FORMA_DILUT_EPS" hidden="1">"c1615"</definedName>
    <definedName name="IQ_PRO_FORMA_NET_INC" hidden="1">"c795"</definedName>
    <definedName name="IQ_PROFESSIONAL" hidden="1">"c1071"</definedName>
    <definedName name="IQ_PROFESSIONAL_TITLE" hidden="1">"c1072"</definedName>
    <definedName name="IQ_PROPERTY_EXP" hidden="1">"c1073"</definedName>
    <definedName name="IQ_PROPERTY_GROSS" hidden="1">"c518"</definedName>
    <definedName name="IQ_PROPERTY_MGMT_FEE" hidden="1">"c1074"</definedName>
    <definedName name="IQ_PROPERTY_NET" hidden="1">"c829"</definedName>
    <definedName name="IQ_PROV_BAD_DEBTS" hidden="1">"c1075"</definedName>
    <definedName name="IQ_PROV_BAD_DEBTS_CF" hidden="1">"c1076"</definedName>
    <definedName name="IQ_PROVISION_10YR_ANN_GROWTH" hidden="1">"c1077"</definedName>
    <definedName name="IQ_PROVISION_1YR_ANN_GROWTH" hidden="1">"c1078"</definedName>
    <definedName name="IQ_PROVISION_2YR_ANN_GROWTH" hidden="1">"c1079"</definedName>
    <definedName name="IQ_PROVISION_3YR_ANN_GROWTH" hidden="1">"c1080"</definedName>
    <definedName name="IQ_PROVISION_5YR_ANN_GROWTH" hidden="1">"c1081"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DEEM_PREF_STOCK" hidden="1">"c1059"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"c1090"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ICTED_CASH" hidden="1">"c1103"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IT" hidden="1">"c1110"</definedName>
    <definedName name="IQ_RESTRUCTURE_UTI" hidden="1">"c1111"</definedName>
    <definedName name="IQ_RESTRUCTURED_LOANS" hidden="1">"c1112"</definedName>
    <definedName name="IQ_RETAINED_EARN" hidden="1">"c1092"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S" hidden="1">"c1116"</definedName>
    <definedName name="IQ_RETURN_CAPITAL" hidden="1">"c1117"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S" hidden="1">"c1121"</definedName>
    <definedName name="IQ_RETURN_INVESTMENT" hidden="1">"c1117"</definedName>
    <definedName name="IQ_REV" hidden="1">"c1122"</definedName>
    <definedName name="IQ_REV_BEFORE_LL" hidden="1">"c1123"</definedName>
    <definedName name="IQ_REV_UTI" hidden="1">"c1125"</definedName>
    <definedName name="IQ_REVENUE" hidden="1">"c1122"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ME_STORE" hidden="1">"c1149"</definedName>
    <definedName name="IQ_SAVING_DEP" hidden="1">"c1150"</definedName>
    <definedName name="IQ_SECUR_RECEIV" hidden="1">"c1151"</definedName>
    <definedName name="IQ_SECURITY_BORROW" hidden="1">"c1152"</definedName>
    <definedName name="IQ_SECURITY_OWN" hidden="1">"c1153"</definedName>
    <definedName name="IQ_SECURITY_RESELL" hidden="1">"c1154"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"c83"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"c1197"</definedName>
    <definedName name="IQ_SMALL_INT_BEAR_CD" hidden="1">"c1166"</definedName>
    <definedName name="IQ_SOFTWARE" hidden="1">"c1167"</definedName>
    <definedName name="IQ_SOURCE" hidden="1">"c1168"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IT" hidden="1">"c1174"</definedName>
    <definedName name="IQ_SPECIAL_DIV_CF_UTI" hidden="1">"c1175"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IT" hidden="1">"c1186"</definedName>
    <definedName name="IQ_ST_DEBT_ISSUED_UTI" hidden="1">"c1187"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IT" hidden="1">"c1194"</definedName>
    <definedName name="IQ_ST_DEBT_REPAID_UTI" hidden="1">"c1195"</definedName>
    <definedName name="IQ_ST_DEBT_UTI" hidden="1">"c1196"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CF" hidden="1">"c1203"</definedName>
    <definedName name="IQ_STRIKE_PRICE_ISSUED" hidden="1">"c1645"</definedName>
    <definedName name="IQ_STRIKE_PRICE_OS" hidden="1">"c1646"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X_BENEFIT_OPTIONS" hidden="1">"c1215"</definedName>
    <definedName name="IQ_TAX_EQUIV_NET_INT_INC" hidden="1">"c1216"</definedName>
    <definedName name="IQ_TBV_SHARE" hidden="1">"c1217"</definedName>
    <definedName name="IQ_TEMPLATE" hidden="1">"c1521"</definedName>
    <definedName name="IQ_TENANT" hidden="1">"c1218"</definedName>
    <definedName name="IQ_TEV" hidden="1">"c1219"</definedName>
    <definedName name="IQ_TEV_EBIT" hidden="1">"c1220"</definedName>
    <definedName name="IQ_TEV_EBIT_AVG" hidden="1">"c1221"</definedName>
    <definedName name="IQ_TEV_EBITDA" hidden="1">"c1222"</definedName>
    <definedName name="IQ_TEV_EBITDA_AVG" hidden="1">"c1223"</definedName>
    <definedName name="IQ_TEV_EBITDA_FWD" hidden="1">"c1224"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" hidden="1">"c1228"</definedName>
    <definedName name="IQ_TIER_ONE_RATIO" hidden="1">"c1229"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GROWTH" hidden="1">"c1235"</definedName>
    <definedName name="IQ_TOTAL_ASSETS_1YR_ANN_GROWTH" hidden="1">"c1236"</definedName>
    <definedName name="IQ_TOTAL_ASSETS_2YR_ANN_GROWTH" hidden="1">"c1237"</definedName>
    <definedName name="IQ_TOTAL_ASSETS_3YR_ANN_GROWTH" hidden="1">"c1238"</definedName>
    <definedName name="IQ_TOTAL_ASSETS_5YR_ANN_GROWTH" hidden="1">"c1239"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"c1266"</definedName>
    <definedName name="IQ_TOTAL_CASH_FINAN" hidden="1">"c119"</definedName>
    <definedName name="IQ_TOTAL_CASH_INVEST" hidden="1">"c121"</definedName>
    <definedName name="IQ_TOTAL_CASH_OPER" hidden="1">"c122"</definedName>
    <definedName name="IQ_TOTAL_CL" hidden="1">"c1245"</definedName>
    <definedName name="IQ_TOTAL_COMMON" hidden="1">"c1022"</definedName>
    <definedName name="IQ_TOTAL_COMMON_EQUITY" hidden="1">"c1246"</definedName>
    <definedName name="IQ_TOTAL_CURRENT_ASSETS" hidden="1">"c1243"</definedName>
    <definedName name="IQ_TOTAL_CURRENT_LIAB" hidden="1">"c1245"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QUITY" hidden="1">"c1250"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"c1249"</definedName>
    <definedName name="IQ_TOTAL_DEBT_OVER_TOTAL_BV" hidden="1">"c1250"</definedName>
    <definedName name="IQ_TOTAL_DEBT_OVER_TOTAL_CAP" hidden="1">"c1248"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IT" hidden="1">"c1263"</definedName>
    <definedName name="IQ_TOTAL_DEBT_REPAID_UTI" hidden="1">"c1264"</definedName>
    <definedName name="IQ_TOTAL_DEPOSITS" hidden="1">"c1265"</definedName>
    <definedName name="IQ_TOTAL_DIV_PAID_CF" hidden="1">"c1266"</definedName>
    <definedName name="IQ_TOTAL_EMPLOYEE" hidden="1">"c1522"</definedName>
    <definedName name="IQ_TOTAL_EQUITY" hidden="1">"c1267"</definedName>
    <definedName name="IQ_TOTAL_EQUITY_10YR_ANN_GROWTH" hidden="1">"c1268"</definedName>
    <definedName name="IQ_TOTAL_EQUITY_1YR_ANN_GROWTH" hidden="1">"c1269"</definedName>
    <definedName name="IQ_TOTAL_EQUITY_2YR_ANN_GROWTH" hidden="1">"c1270"</definedName>
    <definedName name="IQ_TOTAL_EQUITY_3YR_ANN_GROWTH" hidden="1">"c1271"</definedName>
    <definedName name="IQ_TOTAL_EQUITY_5YR_ANN_GROWTH" hidden="1">"c1272"</definedName>
    <definedName name="IQ_TOTAL_EQUITY_7YR_ANN_GROWTH" hidden="1">"c1273"</definedName>
    <definedName name="IQ_TOTAL_EQUITY_ALLOWANCE_TOTAL_LOANS" hidden="1">"c1274"</definedName>
    <definedName name="IQ_TOTAL_INTEREST_EXP" hidden="1">"c591"</definedName>
    <definedName name="IQ_TOTAL_INVENTORY" hidden="1">"c622"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IT" hidden="1">"c1282"</definedName>
    <definedName name="IQ_TOTAL_LIAB_SHAREHOLD" hidden="1">"c1279"</definedName>
    <definedName name="IQ_TOTAL_LIAB_TOTAL_ASSETS" hidden="1">"c1283"</definedName>
    <definedName name="IQ_TOTAL_LONG_DEBT" hidden="1">"c1617"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THER_OPER" hidden="1">"c1289"</definedName>
    <definedName name="IQ_TOTAL_PENSION_ASSETS" hidden="1">"c1290"</definedName>
    <definedName name="IQ_TOTAL_PENSION_EXP" hidden="1">"c1291"</definedName>
    <definedName name="IQ_TOTAL_PENSION_OBLIGATION" hidden="1">"c1292"</definedName>
    <definedName name="IQ_TOTAL_RECEIV" hidden="1">"c1293"</definedName>
    <definedName name="IQ_TOTAL_REV" hidden="1">"c1294"</definedName>
    <definedName name="IQ_TOTAL_REV_10YR_ANN_GROWTH" hidden="1">"c1295"</definedName>
    <definedName name="IQ_TOTAL_REV_1YR_ANN_GROWTH" hidden="1">"c1296"</definedName>
    <definedName name="IQ_TOTAL_REV_2YR_ANN_GROWTH" hidden="1">"c1297"</definedName>
    <definedName name="IQ_TOTAL_REV_3YR_ANN_GROWTH" hidden="1">"c1298"</definedName>
    <definedName name="IQ_TOTAL_REV_5YR_ANN_GROWTH" hidden="1">"c1299"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IT" hidden="1">"c1307"</definedName>
    <definedName name="IQ_TOTAL_REV_UTI" hidden="1">"c1308"</definedName>
    <definedName name="IQ_TOTAL_REVENUE" hidden="1">"c1294"</definedName>
    <definedName name="IQ_TOTAL_SPECIAL" hidden="1">"c1618"</definedName>
    <definedName name="IQ_TOTAL_ST_BORROW" hidden="1">"c1177"</definedName>
    <definedName name="IQ_TOTAL_UNUSUAL" hidden="1">"c1508"</definedName>
    <definedName name="IQ_TRADE_AR" hidden="1">"c40"</definedName>
    <definedName name="IQ_TRADE_PRINCIPAL" hidden="1">"c1309"</definedName>
    <definedName name="IQ_TRADING_ASSETS" hidden="1">"c1310"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IT" hidden="1">"c1317"</definedName>
    <definedName name="IQ_TREASURY_OTHER_EQUITY_UTI" hidden="1">"c1318"</definedName>
    <definedName name="IQ_TREASURY_STOCK" hidden="1">"c1311"</definedName>
    <definedName name="IQ_TRUST_INC" hidden="1">"c1319"</definedName>
    <definedName name="IQ_TRUST_PREF" hidden="1">"c1320"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PAID_CLAIMS" hidden="1">"c1330"</definedName>
    <definedName name="IQ_UNREALIZED_GAIN" hidden="1">"c1619"</definedName>
    <definedName name="IQ_US_GAAP" hidden="1">"c1331"</definedName>
    <definedName name="IQ_UTIL_PPE_NET" hidden="1">"c1620"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EEK" hidden="1">50000</definedName>
    <definedName name="IQ_WEIGHTED_AVG_PRICE" hidden="1">"c1334"</definedName>
    <definedName name="IQ_WIP_INV" hidden="1">"c1335"</definedName>
    <definedName name="IQ_WORKMEN_WRITTEN" hidden="1">"c1336"</definedName>
    <definedName name="IQ_YEARHIGH" hidden="1">"c1337"</definedName>
    <definedName name="IQ_YEARLOW" hidden="1">"c1338"</definedName>
    <definedName name="IQ_YTD" hidden="1">3000</definedName>
    <definedName name="IQ_Z_SCORE" hidden="1">"c1339"</definedName>
    <definedName name="iQShowHideColumns" hidden="1">"iQShowAll"</definedName>
    <definedName name="IR" localSheetId="27">#REF!</definedName>
    <definedName name="IR" localSheetId="0">#REF!</definedName>
    <definedName name="IR">#REF!</definedName>
    <definedName name="ir_2T">#REF!</definedName>
    <definedName name="IRINEU" hidden="1">{"TotalGeralDespesasPorArea",#N/A,FALSE,"VinculosAccessEfetivo"}</definedName>
    <definedName name="irmenu">#REF!</definedName>
    <definedName name="IRP">#N/A</definedName>
    <definedName name="IRPJ">#REF!</definedName>
    <definedName name="IRPJ_1">#REF!</definedName>
    <definedName name="IRPJ_2">#REF!</definedName>
    <definedName name="iuuyiyu" localSheetId="27" hidden="1">#REF!</definedName>
    <definedName name="iuuyiyu" localSheetId="0" hidden="1">#REF!</definedName>
    <definedName name="iuuyiyu" hidden="1">#REF!</definedName>
    <definedName name="iuyiiiiiiiiiiiiiiiiiiiiiiii" localSheetId="27" hidden="1">#REF!</definedName>
    <definedName name="iuyiiiiiiiiiiiiiiiiiiiiiiii" localSheetId="0" hidden="1">#REF!</definedName>
    <definedName name="iuyiiiiiiiiiiiiiiiiiiiiiiii" hidden="1">#REF!</definedName>
    <definedName name="iuyiuuy" localSheetId="27" hidden="1">#REF!</definedName>
    <definedName name="iuyiuuy" localSheetId="0" hidden="1">#REF!</definedName>
    <definedName name="iuyiuuy" hidden="1">#REF!</definedName>
    <definedName name="iuyiyui" localSheetId="0" hidden="1">#REF!</definedName>
    <definedName name="iuyiyui" hidden="1">#REF!</definedName>
    <definedName name="iuytiuyrt" localSheetId="0" hidden="1">#REF!</definedName>
    <definedName name="iuytiuyrt" hidden="1">#REF!</definedName>
    <definedName name="iuyttyuiu" localSheetId="0" hidden="1">#REF!</definedName>
    <definedName name="iuyttyuiu" hidden="1">#REF!</definedName>
    <definedName name="IVA_Areas_SErviço" localSheetId="0" hidden="1">#REF!</definedName>
    <definedName name="IVA_Areas_SErviço" hidden="1">#REF!</definedName>
    <definedName name="IVA_Invest" localSheetId="0" hidden="1">#REF!</definedName>
    <definedName name="IVA_Invest" hidden="1">#REF!</definedName>
    <definedName name="Iva_Outros_Proveitos" localSheetId="0" hidden="1">#REF!</definedName>
    <definedName name="Iva_Outros_Proveitos" hidden="1">#REF!</definedName>
    <definedName name="IVA_Portagens" localSheetId="0" hidden="1">#REF!</definedName>
    <definedName name="IVA_Portagens" hidden="1">#REF!</definedName>
    <definedName name="iyuiyuiuiiui" localSheetId="0" hidden="1">#REF!</definedName>
    <definedName name="iyuiyuiuiiui" hidden="1">#REF!</definedName>
    <definedName name="j">#REF!</definedName>
    <definedName name="jag" hidden="1">{"TotalGeralDespesasPorArea",#N/A,FALSE,"VinculosAccessEfetivo"}</definedName>
    <definedName name="JAN">#REF!</definedName>
    <definedName name="JC">#REF!</definedName>
    <definedName name="JCPto">#REF!</definedName>
    <definedName name="JD">#REF!</definedName>
    <definedName name="JDPto">#REF!</definedName>
    <definedName name="jfhgjfjhfjhg" localSheetId="0" hidden="1">#REF!</definedName>
    <definedName name="jfhgjfjhfjhg" hidden="1">#REF!</definedName>
    <definedName name="jfhjfhjhf" localSheetId="0" hidden="1">#REF!</definedName>
    <definedName name="jfhjfhjhf" hidden="1">#REF!</definedName>
    <definedName name="jfhjgfjhf" localSheetId="0" hidden="1">#REF!</definedName>
    <definedName name="jfhjgfjhf" hidden="1">#REF!</definedName>
    <definedName name="jfhjhjfghjgh" localSheetId="0" hidden="1">#REF!</definedName>
    <definedName name="jfhjhjfghjgh" hidden="1">#REF!</definedName>
    <definedName name="jhfgjgjjjj" localSheetId="0" hidden="1">#REF!</definedName>
    <definedName name="jhfgjgjjjj" hidden="1">#REF!</definedName>
    <definedName name="jhfjfhfhj" localSheetId="0" hidden="1">#REF!</definedName>
    <definedName name="jhfjfhfhj" hidden="1">#REF!</definedName>
    <definedName name="jhfjgffffffffff" localSheetId="0" hidden="1">#REF!</definedName>
    <definedName name="jhfjgffffffffff" hidden="1">#REF!</definedName>
    <definedName name="jhfjhf" localSheetId="0" hidden="1">#REF!</definedName>
    <definedName name="jhfjhf" hidden="1">#REF!</definedName>
    <definedName name="jhfjhh" localSheetId="0" hidden="1">#REF!</definedName>
    <definedName name="jhfjhh" hidden="1">#REF!</definedName>
    <definedName name="jhgfjgfjghj" localSheetId="0" hidden="1">#REF!</definedName>
    <definedName name="jhgfjgfjghj" hidden="1">#REF!</definedName>
    <definedName name="jhgfjgfjhhgfj" localSheetId="0" hidden="1">#REF!</definedName>
    <definedName name="jhgfjgfjhhgfj" hidden="1">#REF!</definedName>
    <definedName name="jhgfjgjghjgf" localSheetId="0" hidden="1">#REF!</definedName>
    <definedName name="jhgfjgjghjgf" hidden="1">#REF!</definedName>
    <definedName name="jhgjgjhgf" localSheetId="0" hidden="1">#REF!</definedName>
    <definedName name="jhgjgjhgf" hidden="1">#REF!</definedName>
    <definedName name="jhgjhgj" localSheetId="0" hidden="1">#REF!</definedName>
    <definedName name="jhgjhgj" hidden="1">#REF!</definedName>
    <definedName name="JHJ" localSheetId="27" hidden="1">{#N/A,#N/A,FALSE,"Plan1";#N/A,#N/A,FALSE,"Plan2"}</definedName>
    <definedName name="JHJ" localSheetId="0" hidden="1">{#N/A,#N/A,FALSE,"Plan1";#N/A,#N/A,FALSE,"Plan2"}</definedName>
    <definedName name="JHJ" hidden="1">{#N/A,#N/A,FALSE,"Plan1";#N/A,#N/A,FALSE,"Plan2"}</definedName>
    <definedName name="JHMB" localSheetId="27" hidden="1">{#N/A,#N/A,FALSE,"Plan1";#N/A,#N/A,FALSE,"Plan2"}</definedName>
    <definedName name="JHMB" localSheetId="0" hidden="1">{#N/A,#N/A,FALSE,"Plan1";#N/A,#N/A,FALSE,"Plan2"}</definedName>
    <definedName name="JHMB" hidden="1">{#N/A,#N/A,FALSE,"Plan1";#N/A,#N/A,FALSE,"Plan2"}</definedName>
    <definedName name="jim" hidden="1">{"'Directory'!$A$72:$E$91"}</definedName>
    <definedName name="jjgkjk" localSheetId="27" hidden="1">#REF!</definedName>
    <definedName name="jjgkjk" localSheetId="0" hidden="1">#REF!</definedName>
    <definedName name="jjgkjk" hidden="1">#REF!</definedName>
    <definedName name="jjjjjjjjjj" localSheetId="27" hidden="1">#REF!</definedName>
    <definedName name="jjjjjjjjjj" localSheetId="0" hidden="1">#REF!</definedName>
    <definedName name="jjjjjjjjjj" hidden="1">#REF!</definedName>
    <definedName name="jjjjjjjjjjjjj" localSheetId="27" hidden="1">#REF!</definedName>
    <definedName name="jjjjjjjjjjjjj" localSheetId="0" hidden="1">#REF!</definedName>
    <definedName name="jjjjjjjjjjjjj" hidden="1">#REF!</definedName>
    <definedName name="jjjjjjjjjjjjjj" localSheetId="0" hidden="1">#REF!</definedName>
    <definedName name="jjjjjjjjjjjjjj" hidden="1">#REF!</definedName>
    <definedName name="jjjjjjjjjjjjjjj" localSheetId="0" hidden="1">#REF!</definedName>
    <definedName name="jjjjjjjjjjjjjjj" hidden="1">#REF!</definedName>
    <definedName name="JKL" localSheetId="27" hidden="1">{#N/A,#N/A,FALSE,"Plan1";#N/A,#N/A,FALSE,"Plan2"}</definedName>
    <definedName name="JKL" localSheetId="0" hidden="1">{#N/A,#N/A,FALSE,"Plan1";#N/A,#N/A,FALSE,"Plan2"}</definedName>
    <definedName name="JKL" hidden="1">{#N/A,#N/A,FALSE,"Plan1";#N/A,#N/A,FALSE,"Plan2"}</definedName>
    <definedName name="joao" hidden="1">{"TotalGeralDespesasPorArea",#N/A,FALSE,"VinculosAccessEfetivo"}</definedName>
    <definedName name="jopokkk´kpkpkok" localSheetId="27">#REF!</definedName>
    <definedName name="jopokkk´kpkpkok">#REF!</definedName>
    <definedName name="Jose">#REF!</definedName>
    <definedName name="JUL" localSheetId="27">#REF!</definedName>
    <definedName name="JUL">#REF!</definedName>
    <definedName name="JUN" localSheetId="27">#REF!</definedName>
    <definedName name="JUN">#REF!</definedName>
    <definedName name="Juro00" localSheetId="27">#REF!</definedName>
    <definedName name="Juro00">#REF!</definedName>
    <definedName name="juros_ato2">#REF!</definedName>
    <definedName name="k">#REF!</definedName>
    <definedName name="kjk" hidden="1">{"'Edit'!$A$1:$V$2277"}</definedName>
    <definedName name="kk">recuperação #REF!</definedName>
    <definedName name="kkk">recuperação #REF!</definedName>
    <definedName name="kkkk" localSheetId="0" hidden="1">#REF!</definedName>
    <definedName name="kkkk" hidden="1">#REF!</definedName>
    <definedName name="kkkkkkk" localSheetId="0" hidden="1">#REF!</definedName>
    <definedName name="kkkkkkk" hidden="1">#REF!</definedName>
    <definedName name="kkkkkkkkkkkkkkk" localSheetId="0" hidden="1">#REF!</definedName>
    <definedName name="kkkkkkkkkkkkkkk" hidden="1">#REF!</definedName>
    <definedName name="kklk" localSheetId="0" hidden="1">#REF!</definedName>
    <definedName name="kklk" hidden="1">#REF!</definedName>
    <definedName name="KLKKLKÇJÇ" localSheetId="27" hidden="1">{#N/A,#N/A,FALSE,"Plan1";#N/A,#N/A,FALSE,"Plan2"}</definedName>
    <definedName name="KLKKLKÇJÇ" localSheetId="0" hidden="1">{#N/A,#N/A,FALSE,"Plan1";#N/A,#N/A,FALSE,"Plan2"}</definedName>
    <definedName name="KLKKLKÇJÇ" hidden="1">{#N/A,#N/A,FALSE,"Plan1";#N/A,#N/A,FALSE,"Plan2"}</definedName>
    <definedName name="kok">#N/A</definedName>
    <definedName name="KrdxMPZnCd">#REF!</definedName>
    <definedName name="KrdxPigmCdYPlAl">#REF!</definedName>
    <definedName name="KrdxZnYAleac">#REF!</definedName>
    <definedName name="L_" localSheetId="27">#REF!</definedName>
    <definedName name="L_">#REF!</definedName>
    <definedName name="LAIR" localSheetId="27">#REF!</definedName>
    <definedName name="LAIR">#REF!</definedName>
    <definedName name="LANC" localSheetId="27">#REF!</definedName>
    <definedName name="LANC">#REF!</definedName>
    <definedName name="lancamento">#REF!</definedName>
    <definedName name="lang">#REF!</definedName>
    <definedName name="Langs">#REF!</definedName>
    <definedName name="Last_Plan">#REF!</definedName>
    <definedName name="lbla1" localSheetId="27" hidden="1">#REF!</definedName>
    <definedName name="lbla1" localSheetId="0" hidden="1">#REF!</definedName>
    <definedName name="lbla1" hidden="1">#REF!</definedName>
    <definedName name="lbla10" localSheetId="27" hidden="1">#REF!</definedName>
    <definedName name="lbla10" localSheetId="0" hidden="1">#REF!</definedName>
    <definedName name="lbla10" hidden="1">#REF!</definedName>
    <definedName name="lbla11" localSheetId="27" hidden="1">#REF!</definedName>
    <definedName name="lbla11" localSheetId="0" hidden="1">#REF!</definedName>
    <definedName name="lbla11" hidden="1">#REF!</definedName>
    <definedName name="lbla12" localSheetId="0" hidden="1">#REF!</definedName>
    <definedName name="lbla12" hidden="1">#REF!</definedName>
    <definedName name="lbla13" localSheetId="0" hidden="1">#REF!</definedName>
    <definedName name="lbla13" hidden="1">#REF!</definedName>
    <definedName name="lbla14" localSheetId="0" hidden="1">#REF!</definedName>
    <definedName name="lbla14" hidden="1">#REF!</definedName>
    <definedName name="lbla15" localSheetId="0" hidden="1">#REF!</definedName>
    <definedName name="lbla15" hidden="1">#REF!</definedName>
    <definedName name="lbla16" localSheetId="0" hidden="1">#REF!</definedName>
    <definedName name="lbla16" hidden="1">#REF!</definedName>
    <definedName name="lbla17" localSheetId="0" hidden="1">#REF!</definedName>
    <definedName name="lbla17" hidden="1">#REF!</definedName>
    <definedName name="lbla18" localSheetId="0" hidden="1">#REF!</definedName>
    <definedName name="lbla18" hidden="1">#REF!</definedName>
    <definedName name="lbla19" localSheetId="0" hidden="1">#REF!</definedName>
    <definedName name="lbla19" hidden="1">#REF!</definedName>
    <definedName name="lbla2" localSheetId="0" hidden="1">#REF!</definedName>
    <definedName name="lbla2" hidden="1">#REF!</definedName>
    <definedName name="lbla20" localSheetId="0" hidden="1">#REF!</definedName>
    <definedName name="lbla20" hidden="1">#REF!</definedName>
    <definedName name="lbla21" localSheetId="0" hidden="1">#REF!</definedName>
    <definedName name="lbla21" hidden="1">#REF!</definedName>
    <definedName name="lbla22" localSheetId="0" hidden="1">#REF!</definedName>
    <definedName name="lbla22" hidden="1">#REF!</definedName>
    <definedName name="lbla23" localSheetId="0" hidden="1">#REF!</definedName>
    <definedName name="lbla23" hidden="1">#REF!</definedName>
    <definedName name="lbla24" localSheetId="0" hidden="1">#REF!</definedName>
    <definedName name="lbla24" hidden="1">#REF!</definedName>
    <definedName name="lbla25" localSheetId="0" hidden="1">#REF!</definedName>
    <definedName name="lbla25" hidden="1">#REF!</definedName>
    <definedName name="lbla27" localSheetId="0" hidden="1">#REF!</definedName>
    <definedName name="lbla27" hidden="1">#REF!</definedName>
    <definedName name="lbla28" localSheetId="0" hidden="1">#REF!</definedName>
    <definedName name="lbla28" hidden="1">#REF!</definedName>
    <definedName name="ldldl">#REF!</definedName>
    <definedName name="legtotais">#REF!</definedName>
    <definedName name="lista">#REF!</definedName>
    <definedName name="Lista_Comparacao">#REF!</definedName>
    <definedName name="Lista_Comparacao.">#REF!</definedName>
    <definedName name="lista_meses">#REF!</definedName>
    <definedName name="lista1">#REF!</definedName>
    <definedName name="lista70000">#REF!</definedName>
    <definedName name="listaCMAI">#REF!</definedName>
    <definedName name="ListaDs">INDIRECT(#REF!)</definedName>
    <definedName name="listaPN">#REF!</definedName>
    <definedName name="lixo" hidden="1">#REF!</definedName>
    <definedName name="lixo10" hidden="1">#REF!</definedName>
    <definedName name="lixo11" hidden="1">#REF!</definedName>
    <definedName name="lixo12" hidden="1">#REF!</definedName>
    <definedName name="lixo13" hidden="1">#REF!</definedName>
    <definedName name="lixo14" hidden="1">#REF!</definedName>
    <definedName name="lixo15" hidden="1">#REF!</definedName>
    <definedName name="lixo16" hidden="1">#REF!</definedName>
    <definedName name="lixo17" hidden="1">#REF!</definedName>
    <definedName name="lixo18" hidden="1">#REF!</definedName>
    <definedName name="lixo19" hidden="1">#REF!</definedName>
    <definedName name="lixo2" hidden="1">#REF!</definedName>
    <definedName name="lixo3" hidden="1">#REF!</definedName>
    <definedName name="lixo4" hidden="1">#REF!</definedName>
    <definedName name="lixo5" hidden="1">#REF!</definedName>
    <definedName name="lixo6" hidden="1">#REF!</definedName>
    <definedName name="lixo7" hidden="1">#REF!</definedName>
    <definedName name="lixo8" hidden="1">#REF!</definedName>
    <definedName name="lixo9" hidden="1">#REF!</definedName>
    <definedName name="ljhljhklkjl" localSheetId="27" hidden="1">#REF!</definedName>
    <definedName name="ljhljhklkjl" localSheetId="0" hidden="1">#REF!</definedName>
    <definedName name="ljhljhklkjl" hidden="1">#REF!</definedName>
    <definedName name="lkjhlkhjlkj" localSheetId="27" hidden="1">#REF!</definedName>
    <definedName name="lkjhlkhjlkj" localSheetId="0" hidden="1">#REF!</definedName>
    <definedName name="lkjhlkhjlkj" hidden="1">#REF!</definedName>
    <definedName name="lkjhlkjhljk" localSheetId="27" hidden="1">#REF!</definedName>
    <definedName name="lkjhlkjhljk" localSheetId="0" hidden="1">#REF!</definedName>
    <definedName name="lkjhlkjhljk" hidden="1">#REF!</definedName>
    <definedName name="lkjklklj" localSheetId="0" hidden="1">#REF!</definedName>
    <definedName name="lkjklklj" hidden="1">#REF!</definedName>
    <definedName name="lklkjhklkj" localSheetId="0" hidden="1">#REF!</definedName>
    <definedName name="lklkjhklkj" hidden="1">#REF!</definedName>
    <definedName name="ll" localSheetId="27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ll" localSheetId="0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ll" localSheetId="26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ll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lllllllllllll" localSheetId="27" hidden="1">#REF!</definedName>
    <definedName name="lllllllllllll" localSheetId="0" hidden="1">#REF!</definedName>
    <definedName name="lllllllllllll" hidden="1">#REF!</definedName>
    <definedName name="LONGA" localSheetId="27">#REF!</definedName>
    <definedName name="LONGA">#REF!</definedName>
    <definedName name="longa_1617" localSheetId="27">#REF!</definedName>
    <definedName name="longa_1617">#REF!</definedName>
    <definedName name="LONGA1" localSheetId="27">#REF!</definedName>
    <definedName name="LONGA1">#REF!</definedName>
    <definedName name="LSRange1" localSheetId="27">#REF!</definedName>
    <definedName name="LSRange1">#REF!</definedName>
    <definedName name="LSRange1Balance" localSheetId="27">#REF!</definedName>
    <definedName name="LSRange1Balance">#REF!</definedName>
    <definedName name="m">#REF!</definedName>
    <definedName name="M_" localSheetId="27">#REF!</definedName>
    <definedName name="M_">#REF!</definedName>
    <definedName name="M_PlaceofPath" hidden="1">"\\SNYCEQT0100\HOME\LZURLO\DATA\TELMEX\Models\tmx_vdf.xls"</definedName>
    <definedName name="Macro_II" hidden="1">{"inputs raw data",#N/A,TRUE,"INPUT"}</definedName>
    <definedName name="MACROEQUAÇÃO" localSheetId="27">#REF!</definedName>
    <definedName name="MACROEQUAÇÃO">#REF!</definedName>
    <definedName name="MAI" localSheetId="27">#REF!</definedName>
    <definedName name="MAI">#REF!</definedName>
    <definedName name="MAR" localSheetId="27">#REF!</definedName>
    <definedName name="MAR">#REF!</definedName>
    <definedName name="Margem_Unitária" localSheetId="27">#REF!</definedName>
    <definedName name="Margem_Unitária">#REF!</definedName>
    <definedName name="MARGENS_DE_CONTRIBUIÇÃO_UNITÁRIAS__R__e_US____tonelada">#REF!</definedName>
    <definedName name="mat_imp">#REF!</definedName>
    <definedName name="mat_imp_cs_asahi">#REF!</definedName>
    <definedName name="mat_imp_cs_uhde" localSheetId="27">#REF!</definedName>
    <definedName name="mat_imp_cs_uhde">#REF!</definedName>
    <definedName name="mat_imp_dce">#REF!</definedName>
    <definedName name="mat_nac">#REF!</definedName>
    <definedName name="mat_nac_cs_asahi">#REF!</definedName>
    <definedName name="mat_nac_cs_uhde" localSheetId="27">#REF!</definedName>
    <definedName name="mat_nac_cs_uhde">#REF!</definedName>
    <definedName name="mat_nac_dce">#REF!</definedName>
    <definedName name="materi">recuperação #REF!</definedName>
    <definedName name="Materiaisdiversos">recuperação #REF!</definedName>
    <definedName name="MATERIAL">recuperação #REF!</definedName>
    <definedName name="meio_empreendimento" localSheetId="27">#REF!</definedName>
    <definedName name="meio_empreendimento">#REF!</definedName>
    <definedName name="mensais_curta">#REF!</definedName>
    <definedName name="mensais_longa" localSheetId="27">#REF!</definedName>
    <definedName name="mensais_longa">#REF!</definedName>
    <definedName name="MENU1" localSheetId="27">#REF!</definedName>
    <definedName name="MENU1">#REF!</definedName>
    <definedName name="MENU2" localSheetId="27">#REF!</definedName>
    <definedName name="MENU2">#REF!</definedName>
    <definedName name="MENU3">#REF!</definedName>
    <definedName name="MENU4">#REF!</definedName>
    <definedName name="mercados">#REF!</definedName>
    <definedName name="merd" localSheetId="27" hidden="1">#REF!</definedName>
    <definedName name="merd" localSheetId="0" hidden="1">#REF!</definedName>
    <definedName name="merd" hidden="1">#REF!</definedName>
    <definedName name="mes" localSheetId="0">#REF!</definedName>
    <definedName name="mes">#REF!</definedName>
    <definedName name="mês">#REF!</definedName>
    <definedName name="Meses" localSheetId="0">#REF!</definedName>
    <definedName name="meses">#REF!</definedName>
    <definedName name="Mext">#REF!</definedName>
    <definedName name="MI" localSheetId="27">#REF!</definedName>
    <definedName name="MI">#REF!</definedName>
    <definedName name="minorit2" localSheetId="27">#REF!</definedName>
    <definedName name="minorit2">#REF!</definedName>
    <definedName name="minorit3" localSheetId="27">#REF!</definedName>
    <definedName name="minorit3">#REF!</definedName>
    <definedName name="mj">#N/A</definedName>
    <definedName name="MmExcelLinker_2BE853F8_2DFC_486B_8CAE_AFEAA6FB15C5">recuperação #REF!</definedName>
    <definedName name="mmmmm" localSheetId="27" hidden="1">{"tabela",#N/A,FALSE,"Tabela";"decoração",#N/A,FALSE,"Decor.";"Informações",#N/A,FALSE,"Inform."}</definedName>
    <definedName name="mmmmm" localSheetId="0" hidden="1">{"tabela",#N/A,FALSE,"Tabela";"decoração",#N/A,FALSE,"Decor.";"Informações",#N/A,FALSE,"Inform."}</definedName>
    <definedName name="mmmmm" localSheetId="26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mmmm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mmmmmm" localSheetId="27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mmmmmmm" localSheetId="0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mmmmmmm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mnbvmnb" localSheetId="27" hidden="1">#REF!</definedName>
    <definedName name="mnbvmnb" localSheetId="0" hidden="1">#REF!</definedName>
    <definedName name="mnbvmnb" hidden="1">#REF!</definedName>
    <definedName name="mnbvmnbv" localSheetId="27" hidden="1">#REF!</definedName>
    <definedName name="mnbvmnbv" localSheetId="0" hidden="1">#REF!</definedName>
    <definedName name="mnbvmnbv" hidden="1">#REF!</definedName>
    <definedName name="mnvbmnbm" localSheetId="27" hidden="1">#REF!</definedName>
    <definedName name="mnvbmnbm" localSheetId="0" hidden="1">#REF!</definedName>
    <definedName name="mnvbmnbm" hidden="1">#REF!</definedName>
    <definedName name="MOBR">#REF!</definedName>
    <definedName name="mod">#REF!</definedName>
    <definedName name="modernizaçãodosruptoresdeemergencia">recuperação #REF!</definedName>
    <definedName name="modo_relatorio">#REF!</definedName>
    <definedName name="moeda" localSheetId="27">#REF!</definedName>
    <definedName name="moeda">#REF!</definedName>
    <definedName name="MOV.000.C.0.00.0000.00.00.24401010001">615712.52999973</definedName>
    <definedName name="MOV.000.C.0.00.0000.00.00.24401010002">61571.25</definedName>
    <definedName name="MOV.000.C.0.00.0000.00.00.D1074">3439383.08001709</definedName>
    <definedName name="MOV.000.C.0.00.0000.00.00.D1075">84926.49000001</definedName>
    <definedName name="MOV.000.C.0.00.2000.00.00.24401010001">615712.52999973</definedName>
    <definedName name="MOV.000.C.0.00.2000.00.00.24401010002">61571.25</definedName>
    <definedName name="MOV.000.C.0.01.0000.00.00.D1074">3439383.08001709</definedName>
    <definedName name="MOV.000.C.0.01.0000.00.00.D1075">84926.49000001</definedName>
    <definedName name="MOV.000.C.0.01.0000.00.01.D1074">3439</definedName>
    <definedName name="MOV.000.C.0.01.0000.00.01.D1075">85</definedName>
    <definedName name="MOV.000.C.0.01.0000.00.01.D1076">1646</definedName>
    <definedName name="MOV.000.C.0.01.0000.00.01.D997">5051</definedName>
    <definedName name="MOV.000.C.0.01.2001.00.01.44101010019">-326</definedName>
    <definedName name="MOV.000.C.0.01.2001.00.01.44101020008">-1321</definedName>
    <definedName name="MOV.000.C.0.02.0000.00.01.D1074">-3473</definedName>
    <definedName name="MOV.000.C.0.02.0000.00.01.D1075">-269</definedName>
    <definedName name="MOV.000.C.0.02.0000.00.01.D1076">6523</definedName>
    <definedName name="MOV.000.C.0.02.0000.00.01.D997">5030</definedName>
    <definedName name="MOV.000.C.0.02.2001.00.01.44101010019">-289</definedName>
    <definedName name="MOV.000.C.0.02.2001.00.01.44101020008">-6234</definedName>
    <definedName name="MOV.000.C.0.03.0000.00.01.D1074">-5358</definedName>
    <definedName name="MOV.000.C.0.03.0000.00.01.D1075">-2243</definedName>
    <definedName name="MOV.000.C.0.03.0000.00.01.D1076">9160</definedName>
    <definedName name="MOV.000.C.0.03.0000.00.01.D997">5019</definedName>
    <definedName name="MOV.000.C.0.03.2001.00.01.44101010019">-313</definedName>
    <definedName name="MOV.000.C.0.03.2001.00.01.44101020008">-8847</definedName>
    <definedName name="MOV.000.C.0.04.0000.00.01.D1074">412</definedName>
    <definedName name="MOV.000.C.0.04.0000.00.01.D1075">183</definedName>
    <definedName name="MOV.000.C.0.04.0000.00.01.D1076">2008</definedName>
    <definedName name="MOV.000.C.0.04.0000.00.01.D997">5002</definedName>
    <definedName name="MOV.000.C.0.04.2001.00.01.44101010019">-299</definedName>
    <definedName name="MOV.000.C.0.04.2001.00.01.44101020008">-1708</definedName>
    <definedName name="MOV.000.C.0.05.0000.00.01.D1074">-9275</definedName>
    <definedName name="MOV.000.C.0.05.0000.00.01.D1075">-4627</definedName>
    <definedName name="MOV.000.C.0.05.0000.00.01.D1076">13237</definedName>
    <definedName name="MOV.000.C.0.05.0000.00.01.D997">5009</definedName>
    <definedName name="MOV.000.C.0.05.2001.00.01.44101010019">-304</definedName>
    <definedName name="MOV.000.C.0.05.2001.00.01.44101020008">-12933</definedName>
    <definedName name="MOV.000.C.0.06.0000.00.01.D1074">4258</definedName>
    <definedName name="MOV.000.C.0.06.0000.00.01.D1075">2228</definedName>
    <definedName name="MOV.000.C.0.06.0000.00.01.D1076">-3697</definedName>
    <definedName name="MOV.000.C.0.06.0000.00.01.D997">5017</definedName>
    <definedName name="MOV.000.C.0.06.2001.00.01.44101010019">-289</definedName>
    <definedName name="MOV.000.C.0.06.2001.00.01.44101020008">3985</definedName>
    <definedName name="MOV.000.C.0.07.0000.00.01.D1074">-6585</definedName>
    <definedName name="MOV.000.C.0.07.0000.00.01.D1075">-3379</definedName>
    <definedName name="MOV.000.C.0.07.0000.00.01.D1076">9458</definedName>
    <definedName name="MOV.000.C.0.07.0000.00.01.D997">5013</definedName>
    <definedName name="MOV.000.C.0.07.2001.00.01.44101010019">-315</definedName>
    <definedName name="MOV.000.C.0.07.2001.00.01.44101020008">-9142</definedName>
    <definedName name="MOV.000.C.0.08.0000.00.01.D1074">-4925</definedName>
    <definedName name="MOV.000.C.0.08.0000.00.01.D1075">-2364</definedName>
    <definedName name="MOV.000.C.0.08.0000.00.01.D1076">9018</definedName>
    <definedName name="MOV.000.C.0.08.0000.00.01.D997">4562</definedName>
    <definedName name="MOV.000.C.0.08.2001.00.01.44101010019">-309</definedName>
    <definedName name="MOV.000.C.0.08.2001.00.01.44101020008">-8708</definedName>
    <definedName name="MOV.000.C.0.09.0000.00.00.D997">4972951.86000061</definedName>
    <definedName name="MOV.000.C.0.09.0000.00.01.D1074">-1945</definedName>
    <definedName name="MOV.000.C.0.09.0000.00.01.D1075">-972</definedName>
    <definedName name="MOV.000.C.0.09.0000.00.01.D1076">2262</definedName>
    <definedName name="MOV.000.C.0.09.0000.00.01.D997">4549</definedName>
    <definedName name="MOV.000.C.0.09.2001.00.01.44101010019">-295</definedName>
    <definedName name="MOV.000.C.0.09.2001.00.01.44101020008">-9024</definedName>
    <definedName name="MOV.000.C.0.09.2001.00.01.D1074">-1945</definedName>
    <definedName name="MOV.000.C.0.09.2001.00.01.D1075">-972</definedName>
    <definedName name="MOV.000.C.0.09.2001.00.01.D997">4549</definedName>
    <definedName name="MOV.000.C.0.10.0000.00.01.D1074">581</definedName>
    <definedName name="MOV.000.C.0.10.0000.00.01.D1075">508</definedName>
    <definedName name="MOV.000.C.0.10.0000.00.01.D1076">5991</definedName>
    <definedName name="MOV.000.C.0.10.0000.00.01.D997">4973</definedName>
    <definedName name="MOV.000.C.0.10.2001.00.01.44101010019">-340</definedName>
    <definedName name="MOV.000.C.0.10.2001.00.01.44101020008">-2225</definedName>
    <definedName name="MOV.000.C.0.10.2001.00.01.D1074">4474</definedName>
    <definedName name="MOV.000.C.0.10.2001.00.01.D1075">2317</definedName>
    <definedName name="MOV.000.C.0.10.2001.00.01.D997">4559</definedName>
    <definedName name="MOV.000.C.0.11.0000.00.01.D1074">-413</definedName>
    <definedName name="MOV.000.C.0.11.0000.00.01.D1075">-142</definedName>
    <definedName name="MOV.000.C.0.11.0000.00.01.D1076">4680</definedName>
    <definedName name="MOV.000.C.0.11.0000.00.01.D997">5095</definedName>
    <definedName name="MOV.000.C.0.11.2001.00.01.22201010001">297</definedName>
    <definedName name="MOV.000.C.0.11.2001.00.01.44101010019">-324</definedName>
    <definedName name="MOV.000.C.0.11.2001.00.01.44101020008">11071</definedName>
    <definedName name="MOV.000.C.0.11.2001.00.01.D1074">14782</definedName>
    <definedName name="MOV.000.C.0.11.2001.00.01.D1075">7744</definedName>
    <definedName name="MOV.000.C.0.11.2001.00.01.D997">4584</definedName>
    <definedName name="MOV.000.C.0.12.0000.00.01.D1074">0</definedName>
    <definedName name="MOV.000.C.0.12.0000.00.01.D1075">0</definedName>
    <definedName name="MOV.000.C.0.12.0000.00.01.D1076">0</definedName>
    <definedName name="MOV.000.C.0.12.0000.00.01.D997">0</definedName>
    <definedName name="MOV.000.C.0.12.2000.00.00.24401010001">615712.52999973</definedName>
    <definedName name="MOV.000.C.0.12.2000.00.00.24401010002">61571.25</definedName>
    <definedName name="MOV.000.C.0.12.2000.00.01.24401010001">1123</definedName>
    <definedName name="MOV.000.C.0.12.2000.00.01.24401010002">112</definedName>
    <definedName name="MOV.000.C.0.12.2001.00.01.22201010001">312</definedName>
    <definedName name="MOV.000.C.0.12.2001.00.01.44101010019">-329</definedName>
    <definedName name="MOV.000.C.0.12.2001.00.01.44101020008">12608</definedName>
    <definedName name="MOV.000.C.0.12.2001.00.01.D1074">9154</definedName>
    <definedName name="MOV.000.C.0.12.2001.00.01.D1075">1912</definedName>
    <definedName name="MOV.000.C.0.12.2001.00.01.D997">4621</definedName>
    <definedName name="MOV.087.C.0.01.0000.00.01.D1035">6124</definedName>
    <definedName name="MOV.087.C.0.02.0000.00.01.D1035">7771</definedName>
    <definedName name="MOV.087.C.0.02.2001.00.01.34">1008</definedName>
    <definedName name="MOV.087.C.0.02.2001.00.01.44">-11828</definedName>
    <definedName name="MOV.087.C.0.02.2001.00.01.D997">5030</definedName>
    <definedName name="MOV.087.C.0.03.0000.00.01.D1035">7609</definedName>
    <definedName name="MOV.087.C.0.03.2001.00.01.34">432</definedName>
    <definedName name="MOV.087.C.0.03.2001.00.01.44">-16259</definedName>
    <definedName name="MOV.087.C.0.03.2001.00.01.D997">5019</definedName>
    <definedName name="MOV.087.C.0.04.0000.00.01.D1035">7609</definedName>
    <definedName name="MOV.087.C.0.05.0000.00.01.D1035">7609</definedName>
    <definedName name="MOV.087.C.0.06.0000.00.01.D1035">7609</definedName>
    <definedName name="MOV.087.C.0.07.0000.00.01.D1035">7609</definedName>
    <definedName name="MOV.087.C.0.07.2001.00.01.D1035">7609</definedName>
    <definedName name="MOV.087.C.0.08.2000.00.01.D1035">7659</definedName>
    <definedName name="MOV.087.C.0.08.2001.00.01.D1035">8902</definedName>
    <definedName name="MOV.087.C.0.09.2000.00.01.41102010014">-7771</definedName>
    <definedName name="MOV.087.C.0.09.2000.00.01.D1035">7771</definedName>
    <definedName name="MOV.087.C.0.09.2001.00.01.D1035">8962</definedName>
    <definedName name="MOV.087.C.0.10.2000.00.01.D1035">7771</definedName>
    <definedName name="MOV.087.C.0.10.2001.00.01.D1035">8756</definedName>
    <definedName name="MOV.087.C.0.11.2000.00.01.D1035">7771</definedName>
    <definedName name="MOV.087.C.0.11.2001.00.01.D1035">8359</definedName>
    <definedName name="MOV.087.C.0.12.0000.00.01.D1035">0</definedName>
    <definedName name="MOV.087.C.0.12.2000.00.01.D1035">7771</definedName>
    <definedName name="MOV.087.C.0.12.2001.00.01.D1035">8558</definedName>
    <definedName name="MOVIMENTAÇÃO_BUTADIEN0_ESTIRENO">#REF!</definedName>
    <definedName name="Mproj">#REF!</definedName>
    <definedName name="Mreal">#REF!</definedName>
    <definedName name="MUN_LITO">#N/A</definedName>
    <definedName name="MUTAÇÃO_PL_CMI" localSheetId="27">#REF!</definedName>
    <definedName name="MUTAÇÃO_PL_CMI">#REF!</definedName>
    <definedName name="MUTAÇÃO_PL_LS" localSheetId="27">#REF!</definedName>
    <definedName name="MUTAÇÃO_PL_LS">#REF!</definedName>
    <definedName name="mvbmnvbmv" localSheetId="27" hidden="1">#REF!</definedName>
    <definedName name="mvbmnvbmv" localSheetId="0" hidden="1">#REF!</definedName>
    <definedName name="mvbmnvbmv" hidden="1">#REF!</definedName>
    <definedName name="mymymy">#N/A</definedName>
    <definedName name="n" localSheetId="0">#REF!</definedName>
    <definedName name="n">27</definedName>
    <definedName name="N_COLUNAS">#REF!</definedName>
    <definedName name="N_LOCAL">#N/A</definedName>
    <definedName name="nada" localSheetId="27">#REF!</definedName>
    <definedName name="nada">#REF!</definedName>
    <definedName name="NB">#REF!</definedName>
    <definedName name="nbnv" localSheetId="27" hidden="1">#REF!</definedName>
    <definedName name="nbnv" localSheetId="0" hidden="1">#REF!</definedName>
    <definedName name="nbnv" hidden="1">#REF!</definedName>
    <definedName name="NBV" localSheetId="27" hidden="1">{#N/A,#N/A,FALSE,"Plan1";#N/A,#N/A,FALSE,"Plan2"}</definedName>
    <definedName name="NBV" localSheetId="0" hidden="1">{#N/A,#N/A,FALSE,"Plan1";#N/A,#N/A,FALSE,"Plan2"}</definedName>
    <definedName name="NBV" hidden="1">{#N/A,#N/A,FALSE,"Plan1";#N/A,#N/A,FALSE,"Plan2"}</definedName>
    <definedName name="ncf" hidden="1">#REF!</definedName>
    <definedName name="Negócio">#REF!</definedName>
    <definedName name="newbel" hidden="1">{"'Directory'!$A$72:$E$91"}</definedName>
    <definedName name="newbls" hidden="1">{"'Directory'!$A$72:$E$91"}</definedName>
    <definedName name="NewMatrix">#REF!</definedName>
    <definedName name="newt" hidden="1">{"'Directory'!$A$72:$E$91"}</definedName>
    <definedName name="newwcom" hidden="1">{"'Directory'!$A$72:$E$91"}</definedName>
    <definedName name="nino" localSheetId="26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nino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NM" localSheetId="27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NM" localSheetId="0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NM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NNN" localSheetId="27" hidden="1">{#N/A,#N/A,FALSE,"Plan1";#N/A,#N/A,FALSE,"Plan2"}</definedName>
    <definedName name="NNN" localSheetId="0" hidden="1">{#N/A,#N/A,FALSE,"Plan1";#N/A,#N/A,FALSE,"Plan2"}</definedName>
    <definedName name="NNN" hidden="1">{#N/A,#N/A,FALSE,"Plan1";#N/A,#N/A,FALSE,"Plan2"}</definedName>
    <definedName name="nnnnnnnnnnnn" localSheetId="27" hidden="1">#REF!</definedName>
    <definedName name="nnnnnnnnnnnn" localSheetId="0" hidden="1">#REF!</definedName>
    <definedName name="nnnnnnnnnnnn" hidden="1">#REF!</definedName>
    <definedName name="no">#REF!</definedName>
    <definedName name="nobreaks">recuperação #REF!</definedName>
    <definedName name="Nomes_Projeto_Investimentos" localSheetId="0">#REF!</definedName>
    <definedName name="Nomes_Projeto_Investimentos">#REF!</definedName>
    <definedName name="nomes_resumotaxas" localSheetId="0">#REF!</definedName>
    <definedName name="nomes_resumotaxas">#REF!</definedName>
    <definedName name="nomes_resumotaxas_mensal" localSheetId="0">#REF!</definedName>
    <definedName name="nomes_resumotaxas_mensal">#REF!</definedName>
    <definedName name="not" localSheetId="27">#REF!</definedName>
    <definedName name="not">#REF!</definedName>
    <definedName name="nota1" localSheetId="27">#REF!</definedName>
    <definedName name="nota1">#REF!</definedName>
    <definedName name="NOTES_1" localSheetId="27">#REF!</definedName>
    <definedName name="NOTES_1">#REF!</definedName>
    <definedName name="NOTES_10">#REF!</definedName>
    <definedName name="NOTES_2">#REF!</definedName>
    <definedName name="NOTES_3">#REF!</definedName>
    <definedName name="NOTES_5">#REF!</definedName>
    <definedName name="NOTES_6">#REF!</definedName>
    <definedName name="NOTES_7">#REF!</definedName>
    <definedName name="NOTES_8">#REF!</definedName>
    <definedName name="NOTES_9">#REF!</definedName>
    <definedName name="NOV">#REF!</definedName>
    <definedName name="Novo">recuperação #REF!</definedName>
    <definedName name="num_mensal2">#REF!</definedName>
    <definedName name="NumofGrpAccts" hidden="1">2</definedName>
    <definedName name="NUN_FRON">#N/A</definedName>
    <definedName name="nyr" localSheetId="27">#REF!</definedName>
    <definedName name="nyr">#REF!</definedName>
    <definedName name="O">#REF!</definedName>
    <definedName name="O_A_REF">#N/A</definedName>
    <definedName name="O_C_REF">#N/A</definedName>
    <definedName name="O1_97" localSheetId="27">#REF!</definedName>
    <definedName name="O1_97">#REF!</definedName>
    <definedName name="O2_97" localSheetId="27">#REF!</definedName>
    <definedName name="O2_97">#REF!</definedName>
    <definedName name="O23O" localSheetId="27">#REF!</definedName>
    <definedName name="O23O">#REF!</definedName>
    <definedName name="O3_97" localSheetId="27">#REF!</definedName>
    <definedName name="O3_97">#REF!</definedName>
    <definedName name="O4_97" localSheetId="27">#REF!</definedName>
    <definedName name="O4_97">#REF!</definedName>
    <definedName name="O5_97" localSheetId="27">#REF!</definedName>
    <definedName name="O5_97">#REF!</definedName>
    <definedName name="O6_97" localSheetId="27">#REF!</definedName>
    <definedName name="O6_97">#REF!</definedName>
    <definedName name="OA" localSheetId="27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OA" localSheetId="0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OA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oae" localSheetId="27">#REF!</definedName>
    <definedName name="oae">#REF!</definedName>
    <definedName name="OEXIGIBI" localSheetId="27">#REF!</definedName>
    <definedName name="OEXIGIBI">#REF!</definedName>
    <definedName name="OI" localSheetId="0">recuperação #REF!</definedName>
    <definedName name="oi">#N/A</definedName>
    <definedName name="oiuoiu" localSheetId="27" hidden="1">#REF!</definedName>
    <definedName name="oiuoiu" localSheetId="0" hidden="1">#REF!</definedName>
    <definedName name="oiuoiu" hidden="1">#REF!</definedName>
    <definedName name="olga" localSheetId="27">#REF!</definedName>
    <definedName name="olga">#REF!</definedName>
    <definedName name="olisboa" hidden="1">{"TotalGeralDespesasPorArea",#N/A,FALSE,"VinculosAccessEfetivo"}</definedName>
    <definedName name="oo" localSheetId="0" hidden="1">#REF!</definedName>
    <definedName name="oo">#N/A</definedName>
    <definedName name="ooo" localSheetId="27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ooo" localSheetId="0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ooo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oooo">#N/A</definedName>
    <definedName name="ooooo">#REF!</definedName>
    <definedName name="oooooo">#N/A</definedName>
    <definedName name="ooooooooo" localSheetId="27" hidden="1">#REF!</definedName>
    <definedName name="ooooooooo" localSheetId="0" hidden="1">#REF!</definedName>
    <definedName name="ooooooooo" hidden="1">#REF!</definedName>
    <definedName name="op">#REF!</definedName>
    <definedName name="Op_Add_ST_Vol">#REF!</definedName>
    <definedName name="Op_Add_ST_Vol_LE02">#REF!</definedName>
    <definedName name="Op_Add_ST_Vol_Q03">#REF!</definedName>
    <definedName name="Op_BusDevCostOther1">#REF!</definedName>
    <definedName name="Op_BusDevCostOther1_LE02">#REF!</definedName>
    <definedName name="Op_BusDevCostOther1_Q03">#REF!</definedName>
    <definedName name="Op_BusDevCostOther2">#REF!</definedName>
    <definedName name="Op_BusDevCostOther2_LE02">#REF!</definedName>
    <definedName name="Op_BusDevCostOther2_Q03">#REF!</definedName>
    <definedName name="Op_BusDevCostOther3">#REF!</definedName>
    <definedName name="Op_BusDevCostOther3_LE02">#REF!</definedName>
    <definedName name="Op_BusDevCostOther3_Q03">#REF!</definedName>
    <definedName name="Op_BusDevCostOther4">#REF!</definedName>
    <definedName name="Op_BusDevCostOther4_LE02">#REF!</definedName>
    <definedName name="Op_BusDevCostOther4_Q03">#REF!</definedName>
    <definedName name="Op_BusDevCostOther5">#REF!</definedName>
    <definedName name="Op_BusDevCostOther5_LE02">#REF!</definedName>
    <definedName name="Op_BusDevCostOther5_Q03">#REF!</definedName>
    <definedName name="Op_BusDevCostPDC1">#REF!</definedName>
    <definedName name="Op_BusDevCostPDC1_LE02">#REF!</definedName>
    <definedName name="Op_BusDevCostPDC1_Q03">#REF!</definedName>
    <definedName name="Op_BusDevCostPDC2">#REF!</definedName>
    <definedName name="Op_BusDevCostPDC2_LE02">#REF!</definedName>
    <definedName name="Op_BusDevCostPDC2_Q03">#REF!</definedName>
    <definedName name="Op_BusDevCostPDC3">#REF!</definedName>
    <definedName name="Op_BusDevCostPDC3_LE02">#REF!</definedName>
    <definedName name="Op_BusDevCostPDC3_Q03">#REF!</definedName>
    <definedName name="Op_BusDevCostPDC4">#REF!</definedName>
    <definedName name="Op_BusDevCostPDC4_LE02">#REF!</definedName>
    <definedName name="Op_BusDevCostPDC4_Q03">#REF!</definedName>
    <definedName name="Op_BusDevCostPDC5">#REF!</definedName>
    <definedName name="Op_BusDevCostPDC5_LE02">#REF!</definedName>
    <definedName name="Op_BusDevCostPDC5_Q03">#REF!</definedName>
    <definedName name="Op_BusDevCostPDC6">#REF!</definedName>
    <definedName name="Op_BusDevCostPDC6_LE02">#REF!</definedName>
    <definedName name="Op_BusDevCostPDC6_Q03">#REF!</definedName>
    <definedName name="Op_BusDevCostPDC7">#REF!</definedName>
    <definedName name="Op_BusDevCostPDC7_LE02">#REF!</definedName>
    <definedName name="Op_BusDevCostPDC7_Q03">#REF!</definedName>
    <definedName name="Op_BusDevCostPDC8">#REF!</definedName>
    <definedName name="Op_BusDevCostPDC8_LE02">#REF!</definedName>
    <definedName name="Op_BusDevCostPDC8_Q03">#REF!</definedName>
    <definedName name="Op_Cap_In_Op">#REF!</definedName>
    <definedName name="Op_Cap_In_Op_LE02">#REF!</definedName>
    <definedName name="Op_Cap_In_Op_Q03">#REF!</definedName>
    <definedName name="Op_Cap_Under_Constr">#REF!</definedName>
    <definedName name="Op_Cap_Under_Constr_LE02">#REF!</definedName>
    <definedName name="Op_Cap_Under_Constr_Q03">#REF!</definedName>
    <definedName name="Op_Cap_Under_Dev">#REF!</definedName>
    <definedName name="Op_Cap_Under_Dev_LE02">#REF!</definedName>
    <definedName name="Op_Cap_Under_Dev_Q03">#REF!</definedName>
    <definedName name="Op_Coal_Gasific">#REF!</definedName>
    <definedName name="Op_Coal_Gasific_LE02">#REF!</definedName>
    <definedName name="Op_Coal_Gasific_Q03">#REF!</definedName>
    <definedName name="Op_Contr_Sales_Vol">#REF!</definedName>
    <definedName name="Op_Contr_Sales_Vol_LE02">#REF!</definedName>
    <definedName name="Op_Contr_Sales_Vol_Q03">#REF!</definedName>
    <definedName name="Op_Eq_Regas_cap_Inst">#REF!</definedName>
    <definedName name="Op_Eq_Regas_cap_Inst_LE02">#REF!</definedName>
    <definedName name="Op_Eq_Regas_cap_Inst_Q03">#REF!</definedName>
    <definedName name="Op_Gas_Vol_Traded">#REF!</definedName>
    <definedName name="Op_Gas_Vol_Traded_LE02">#REF!</definedName>
    <definedName name="Op_Gas_Vol_Traded_Q03">#REF!</definedName>
    <definedName name="Op_GovernanceCost">#REF!</definedName>
    <definedName name="Op_GovernanceCost_LE02">#REF!</definedName>
    <definedName name="Op_GovernanceCost_Q03">#REF!</definedName>
    <definedName name="Op_Gross_Marg_per_Gas_Vol_Trade">#REF!</definedName>
    <definedName name="Op_Gross_Marg_per_Gas_Vol_Trade_LE02">#REF!</definedName>
    <definedName name="Op_Gross_Marg_per_Gas_Vol_Trade_Q03">#REF!</definedName>
    <definedName name="Op_Gross_Marg_per_Gas_Vol_Traded">#REF!</definedName>
    <definedName name="Op_Gross_Marg_per_Gas_Vol_Traded_LE02">#REF!</definedName>
    <definedName name="Op_Gross_Marg_per_Gas_Vol_Traded_Q03">#REF!</definedName>
    <definedName name="Op_Gross_Marg_per_Op_Cost">#REF!</definedName>
    <definedName name="Op_Gross_Marg_per_Op_Cost_LE02">#REF!</definedName>
    <definedName name="Op_Gross_Marg_per_Op_Cost_Q03">#REF!</definedName>
    <definedName name="Op_Liq_Trans_Vol">#REF!</definedName>
    <definedName name="Op_Liq_Trans_Vol_LE02">#REF!</definedName>
    <definedName name="Op_Liq_Trans_Vol_Q03">#REF!</definedName>
    <definedName name="Op_Liquids_Sold">#REF!</definedName>
    <definedName name="Op_Liquids_Sold_LE02">#REF!</definedName>
    <definedName name="Op_Liquids_Sold_Q03">#REF!</definedName>
    <definedName name="Op_LT_Contr_Sales_Incr">#REF!</definedName>
    <definedName name="Op_LT_Contr_Sales_Incr_LE02">#REF!</definedName>
    <definedName name="Op_LT_Contr_Sales_Incr_Q03">#REF!</definedName>
    <definedName name="Op_Manuf_Costs">#REF!</definedName>
    <definedName name="Op_Manuf_Costs_LE02">#REF!</definedName>
    <definedName name="Op_Manuf_Costs_Q03">#REF!</definedName>
    <definedName name="Op_Manuf_Proc_Fees">#REF!</definedName>
    <definedName name="Op_Manuf_Proc_Fees_LE02">#REF!</definedName>
    <definedName name="Op_Manuf_Proc_Fees_Q03">#REF!</definedName>
    <definedName name="Op_Net_Pwr_Gen">#REF!</definedName>
    <definedName name="Op_Net_Pwr_Gen_LE02">#REF!</definedName>
    <definedName name="Op_Net_Pwr_Gen_Q03">#REF!</definedName>
    <definedName name="Op_Other">#REF!</definedName>
    <definedName name="Op_Other_LE02">#REF!</definedName>
    <definedName name="Op_Other_Q03">#REF!</definedName>
    <definedName name="Op_OtherOpex">#REF!</definedName>
    <definedName name="Op_OtherOpex_LE02">#REF!</definedName>
    <definedName name="Op_OtherOpex_Q03">#REF!</definedName>
    <definedName name="Op_Plant_Utilis">#REF!</definedName>
    <definedName name="Op_Plant_Utilis_LE02">#REF!</definedName>
    <definedName name="Op_Plant_Utilis_Q03">#REF!</definedName>
    <definedName name="Op_Pwr_Vol_Traded">#REF!</definedName>
    <definedName name="Op_Pwr_Vol_Traded_LE02">#REF!</definedName>
    <definedName name="Op_Pwr_Vol_Traded_Q03">#REF!</definedName>
    <definedName name="Op_Shell_LNG_Supp">#REF!</definedName>
    <definedName name="Op_Shell_LNG_Supp_LE02">#REF!</definedName>
    <definedName name="Op_Shell_LNG_Supp_Q03">#REF!</definedName>
    <definedName name="Op_Shell_UpStr_Vol">#REF!</definedName>
    <definedName name="Op_Shell_UpStr_Vol_LE02">#REF!</definedName>
    <definedName name="Op_Shell_UpStr_Vol_Q03">#REF!</definedName>
    <definedName name="Op_Third_Pty_Trans">#REF!</definedName>
    <definedName name="Op_Third_Pty_Trans_LE02">#REF!</definedName>
    <definedName name="Op_Third_Pty_Trans_Q03">#REF!</definedName>
    <definedName name="Op_Tot_Gas_Sales_Vol">#REF!</definedName>
    <definedName name="Op_Tot_Gas_Sales_Vol_LE02">#REF!</definedName>
    <definedName name="Op_Tot_Gas_Sales_Vol_Q03">#REF!</definedName>
    <definedName name="Op_Tot_Gas_Supp_Contr">#REF!</definedName>
    <definedName name="Op_Tot_Gas_Supp_Contr_LE02">#REF!</definedName>
    <definedName name="Op_Tot_Gas_Supp_Contr_Q03">#REF!</definedName>
    <definedName name="Op_TotalOpex">#REF!</definedName>
    <definedName name="Op_TotalOpex_LE02">#REF!</definedName>
    <definedName name="Op_TotalOpex_Q03">#REF!</definedName>
    <definedName name="Op_Unit_Gr_Marg">#REF!</definedName>
    <definedName name="Op_Unit_Gr_Marg_LE02">#REF!</definedName>
    <definedName name="Op_Unit_Gr_Marg_Q03">#REF!</definedName>
    <definedName name="Op_Unit_Gr_Marg_Sales">#REF!</definedName>
    <definedName name="Op_Unit_Gr_Marg_Sales_LE02">#REF!</definedName>
    <definedName name="Op_Unit_Gr_Marg_Sales_Q03">#REF!</definedName>
    <definedName name="Op_Unit_Op_Income">#REF!</definedName>
    <definedName name="Op_Unit_Op_Income_LE02">#REF!</definedName>
    <definedName name="Op_Unit_Op_Income_Q03">#REF!</definedName>
    <definedName name="opçao">#REF!</definedName>
    <definedName name="opcaoANBID" localSheetId="0">#REF!</definedName>
    <definedName name="opcaoANBID">#REF!</definedName>
    <definedName name="opcaoBNDES" localSheetId="0">#REF!</definedName>
    <definedName name="opcaoBNDES">#REF!</definedName>
    <definedName name="opcaocdi" localSheetId="0">#REF!</definedName>
    <definedName name="opcaocdi">#REF!</definedName>
    <definedName name="opcaocln_ic" localSheetId="0">#REF!</definedName>
    <definedName name="opcaocln_ic">#REF!</definedName>
    <definedName name="opcaocln_ioae" localSheetId="0">#REF!</definedName>
    <definedName name="opcaocln_ioae">#REF!</definedName>
    <definedName name="opcaocln_ip" localSheetId="0">#REF!</definedName>
    <definedName name="opcaocln_ip">#REF!</definedName>
    <definedName name="opcaocln_it" localSheetId="0">#REF!</definedName>
    <definedName name="opcaocln_it">#REF!</definedName>
    <definedName name="opcaocot_coringa1" localSheetId="0">#REF!</definedName>
    <definedName name="opcaocot_coringa1">#REF!</definedName>
    <definedName name="opcaocot_coringa2" localSheetId="0">#REF!</definedName>
    <definedName name="opcaocot_coringa2">#REF!</definedName>
    <definedName name="opcaocot_dolar" localSheetId="0">#REF!</definedName>
    <definedName name="opcaocot_dolar">#REF!</definedName>
    <definedName name="opcaocot_euro" localSheetId="0">#REF!</definedName>
    <definedName name="opcaocot_euro">#REF!</definedName>
    <definedName name="opcaocusto_oport" localSheetId="0">#REF!</definedName>
    <definedName name="opcaocusto_oport">#REF!</definedName>
    <definedName name="opcaoDI_liqimposto" localSheetId="0">#REF!</definedName>
    <definedName name="opcaoDI_liqimposto">#REF!</definedName>
    <definedName name="opcaoigp_di" localSheetId="0">#REF!</definedName>
    <definedName name="opcaoigp_di">#REF!</definedName>
    <definedName name="opcaoigpm" localSheetId="0">#REF!</definedName>
    <definedName name="opcaoigpm">#REF!</definedName>
    <definedName name="opcaoincc" localSheetId="0">#REF!</definedName>
    <definedName name="opcaoincc">#REF!</definedName>
    <definedName name="opcaoind_coringa1" localSheetId="0">#REF!</definedName>
    <definedName name="opcaoind_coringa1">#REF!</definedName>
    <definedName name="opcaoind_coringa2" localSheetId="0">#REF!</definedName>
    <definedName name="opcaoind_coringa2">#REF!</definedName>
    <definedName name="opcaoinfl_coringa1" localSheetId="0">#REF!</definedName>
    <definedName name="opcaoinfl_coringa1">#REF!</definedName>
    <definedName name="opcaoinfl_coringa2" localSheetId="0">#REF!</definedName>
    <definedName name="opcaoinfl_coringa2">#REF!</definedName>
    <definedName name="opcaoinpc" localSheetId="0">#REF!</definedName>
    <definedName name="opcaoinpc">#REF!</definedName>
    <definedName name="opcaoipca" localSheetId="0">#REF!</definedName>
    <definedName name="opcaoipca">#REF!</definedName>
    <definedName name="opcaoipca_e" localSheetId="0">#REF!</definedName>
    <definedName name="opcaoipca_e">#REF!</definedName>
    <definedName name="opçãoIR">#REF!</definedName>
    <definedName name="opcaolibor_6" localSheetId="0">#REF!</definedName>
    <definedName name="opcaolibor_6">#REF!</definedName>
    <definedName name="opcaolibor_vcambial" localSheetId="0">#REF!</definedName>
    <definedName name="opcaolibor_vcambial">#REF!</definedName>
    <definedName name="opcaopib" localSheetId="0">#REF!</definedName>
    <definedName name="opcaopib">#REF!</definedName>
    <definedName name="opcaoselic" localSheetId="0">#REF!</definedName>
    <definedName name="opcaoselic">#REF!</definedName>
    <definedName name="opcaoTJLP" localSheetId="0">#REF!</definedName>
    <definedName name="opcaoTJLP">#REF!</definedName>
    <definedName name="opcaotxjuros_coringa1" localSheetId="0">#REF!</definedName>
    <definedName name="opcaotxjuros_coringa1">#REF!</definedName>
    <definedName name="opcaotxjuros_coringa2" localSheetId="0">#REF!</definedName>
    <definedName name="opcaotxjuros_coringa2">#REF!</definedName>
    <definedName name="opcaovarcab_coringa1" localSheetId="0">#REF!</definedName>
    <definedName name="opcaovarcab_coringa1">#REF!</definedName>
    <definedName name="opcaovarcab_coringa2" localSheetId="0">#REF!</definedName>
    <definedName name="opcaovarcab_coringa2">#REF!</definedName>
    <definedName name="opcaovarcab_dolar" localSheetId="0">#REF!</definedName>
    <definedName name="opcaovarcab_dolar">#REF!</definedName>
    <definedName name="opcaovarcab_euro" localSheetId="0">#REF!</definedName>
    <definedName name="opcaovarcab_euro">#REF!</definedName>
    <definedName name="Opco_EPE">#REF!</definedName>
    <definedName name="Opco_GOB">#REF!</definedName>
    <definedName name="Opco_GOM">#REF!</definedName>
    <definedName name="Opco_Name">#REF!</definedName>
    <definedName name="oper" localSheetId="27">#REF!</definedName>
    <definedName name="oper">#REF!</definedName>
    <definedName name="operacional">#REF!</definedName>
    <definedName name="operations" localSheetId="27">#REF!</definedName>
    <definedName name="operations">#REF!</definedName>
    <definedName name="Orc">#REF!</definedName>
    <definedName name="Orcamento_data_fixo">#REF!</definedName>
    <definedName name="Orcamento_data_variavel">#REF!</definedName>
    <definedName name="OrcAtual">#REF!</definedName>
    <definedName name="ORIG1" localSheetId="27">#REF!</definedName>
    <definedName name="ORIG1">#REF!</definedName>
    <definedName name="ORIG2" localSheetId="27">#REF!</definedName>
    <definedName name="ORIG2">#REF!</definedName>
    <definedName name="ORIG3">#REF!</definedName>
    <definedName name="ORIG4">#REF!</definedName>
    <definedName name="origen" localSheetId="27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origen" localSheetId="0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origen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origin">#REF!</definedName>
    <definedName name="otto" hidden="1">{"TotalGeralDespesasPorArea",#N/A,FALSE,"VinculosAccessEfetivo"}</definedName>
    <definedName name="OUT" localSheetId="27">#REF!</definedName>
    <definedName name="OUT">#REF!</definedName>
    <definedName name="Outros_Activos" localSheetId="27" hidden="1">#REF!</definedName>
    <definedName name="Outros_Activos" localSheetId="0" hidden="1">#REF!</definedName>
    <definedName name="Outros_Activos" hidden="1">#REF!</definedName>
    <definedName name="over" localSheetId="27">#REF!</definedName>
    <definedName name="over">#REF!</definedName>
    <definedName name="p" localSheetId="0">recuperação #REF!</definedName>
    <definedName name="p">0.2225</definedName>
    <definedName name="Página_01" localSheetId="27">#REF!</definedName>
    <definedName name="Página_01">#REF!</definedName>
    <definedName name="Página_02" localSheetId="27">#REF!</definedName>
    <definedName name="Página_02">#REF!</definedName>
    <definedName name="Página_03" localSheetId="27">#REF!</definedName>
    <definedName name="Página_03">#REF!</definedName>
    <definedName name="Página_04">#REF!</definedName>
    <definedName name="Página_05">#REF!</definedName>
    <definedName name="Página_06">#REF!</definedName>
    <definedName name="Página_07">#REF!</definedName>
    <definedName name="Página_08">#REF!</definedName>
    <definedName name="Página_09">#REF!</definedName>
    <definedName name="Página_10">#REF!</definedName>
    <definedName name="Página_11">#REF!</definedName>
    <definedName name="Página_12">#REF!</definedName>
    <definedName name="Página_13">#REF!</definedName>
    <definedName name="Página_13.">#REF!</definedName>
    <definedName name="Página_14">#REF!</definedName>
    <definedName name="Página_14.">#REF!</definedName>
    <definedName name="PAI">recuperação #REF!</definedName>
    <definedName name="painelIndicadores_meta_MargEBITDA">#REF!</definedName>
    <definedName name="painelIndicadores_meta_RL">#REF!</definedName>
    <definedName name="painelIndicadores_p12_CF">#REF!</definedName>
    <definedName name="painelIndicadores_p12_CV">#REF!</definedName>
    <definedName name="painelIndicadores_p12_DVV">#REF!</definedName>
    <definedName name="painelIndicadores_p12_EBITDA">#REF!</definedName>
    <definedName name="painelIndicadores_p12_MargEBITDA">#REF!</definedName>
    <definedName name="painelIndicadores_p12_RL">#REF!</definedName>
    <definedName name="painelIndicadores_selecionado_meta_CF">#REF!</definedName>
    <definedName name="painelIndicadores_selecionado_meta_CV">#REF!</definedName>
    <definedName name="painelIndicadores_selecionado_meta_DVV">#REF!</definedName>
    <definedName name="painelIndicadores_selecionado_meta_EBITDA">#REF!</definedName>
    <definedName name="painelIndicadores_selecionado_meta_MargEBITDA">#REF!</definedName>
    <definedName name="painelIndicadores_selecionado_meta_RL">#REF!</definedName>
    <definedName name="painelIndicadores_selecionado_p12_CF">#REF!</definedName>
    <definedName name="painelIndicadores_selecionado_p12_CV">#REF!</definedName>
    <definedName name="painelIndicadores_selecionado_p12_DVV">#REF!</definedName>
    <definedName name="painelIndicadores_selecionado_p12_EBITDA">#REF!</definedName>
    <definedName name="painelIndicadores_selecionado_p12_MargEBITDA">#REF!</definedName>
    <definedName name="painelIndicadores_selecionado_p12_RL">#REF!</definedName>
    <definedName name="painelIndicadores_selecionado_u12_CF">#REF!</definedName>
    <definedName name="painelIndicadores_selecionado_u12_CV">#REF!</definedName>
    <definedName name="painelIndicadores_selecionado_u12_DVV">#REF!</definedName>
    <definedName name="painelIndicadores_selecionado_u12_EBITDA">#REF!</definedName>
    <definedName name="painelIndicadores_selecionado_u12_MargEBITDA">#REF!</definedName>
    <definedName name="painelIndicadores_selecionado_u12_RL">#REF!</definedName>
    <definedName name="painelIndicadores_u12_CF">#REF!</definedName>
    <definedName name="painelIndicadores_u12_CV">#REF!</definedName>
    <definedName name="painelIndicadores_u12_DVV">#REF!</definedName>
    <definedName name="painelIndicadores_u12_EBITDA">#REF!</definedName>
    <definedName name="painelIndicadores_u12_MargEBITDA">#REF!</definedName>
    <definedName name="painelIndicadores_u12_RL">#REF!</definedName>
    <definedName name="PAR_Administradores">#REF!:OFFSET(#REF!,COUNTA(#REF!)-1,0)</definedName>
    <definedName name="PAR_PSW" hidden="1">1987</definedName>
    <definedName name="PAR_Usuario">#REF!</definedName>
    <definedName name="parc_mensal" localSheetId="27">#REF!</definedName>
    <definedName name="parc_mensal">#REF!</definedName>
    <definedName name="PART_MP_CUSTO_VARIAVEL">#REF!</definedName>
    <definedName name="participacao" localSheetId="27">#REF!</definedName>
    <definedName name="participacao">#REF!</definedName>
    <definedName name="pass" localSheetId="27">#REF!</definedName>
    <definedName name="pass">#REF!</definedName>
    <definedName name="passi" localSheetId="27">#REF!</definedName>
    <definedName name="passi">#REF!</definedName>
    <definedName name="passivo" localSheetId="27">#REF!</definedName>
    <definedName name="passivo">#REF!</definedName>
    <definedName name="pato">#REF!</definedName>
    <definedName name="pav" localSheetId="27">#REF!</definedName>
    <definedName name="pav">#REF!</definedName>
    <definedName name="PC">#REF!</definedName>
    <definedName name="PEBDL_IMP" localSheetId="27">#REF!</definedName>
    <definedName name="PEBDL_IMP">#REF!</definedName>
    <definedName name="perc_contingencia">#REF!</definedName>
    <definedName name="perc_edificacao">#REF!</definedName>
    <definedName name="Perc_est_consorcio" localSheetId="27">#REF!</definedName>
    <definedName name="Perc_est_consorcio">#REF!</definedName>
    <definedName name="Perc_Estudantes_Estaduais">#REF!</definedName>
    <definedName name="perc_manut">#REF!</definedName>
    <definedName name="perc_mat_EPC">#REF!</definedName>
    <definedName name="perc_montagem">#REF!</definedName>
    <definedName name="perc_org_e_adm">#REF!</definedName>
    <definedName name="perc_pre_oper">#REF!</definedName>
    <definedName name="perc_seg">#REF!</definedName>
    <definedName name="Percentual_Ato1">#REF!</definedName>
    <definedName name="Percentual_Mensais">#REF!</definedName>
    <definedName name="Periodo_comparacao">#REF!</definedName>
    <definedName name="perm" localSheetId="27">#REF!</definedName>
    <definedName name="perm">#REF!</definedName>
    <definedName name="permanent" localSheetId="27">#REF!</definedName>
    <definedName name="permanent">#REF!</definedName>
    <definedName name="perpetuidade">#REF!</definedName>
    <definedName name="Pessoal_Administrativo">#REF!</definedName>
    <definedName name="Pessoal_Comercial">#REF!</definedName>
    <definedName name="Pessoal_Operacional">#REF!</definedName>
    <definedName name="petroquímicas">#REF!</definedName>
    <definedName name="PHAROS_CURTA" localSheetId="27">#REF!</definedName>
    <definedName name="PHAROS_CURTA">#REF!</definedName>
    <definedName name="PHAROS_LONGA" localSheetId="27">#REF!</definedName>
    <definedName name="PHAROS_LONGA">#REF!</definedName>
    <definedName name="PIS">#REF!</definedName>
    <definedName name="PL_Admin_Exp">#REF!</definedName>
    <definedName name="PL_Admin_Exp_LE02">#REF!</definedName>
    <definedName name="PL_Admin_Exp_Q03">#REF!</definedName>
    <definedName name="PL_Asset_Disp">#REF!</definedName>
    <definedName name="PL_Asset_Disp_LE02">#REF!</definedName>
    <definedName name="PL_Asset_Disp_Q03">#REF!</definedName>
    <definedName name="PL_Assoc_Curr_Exch_GL">#REF!</definedName>
    <definedName name="PL_Assoc_Curr_Exch_GL_LE02">#REF!</definedName>
    <definedName name="PL_Assoc_Curr_Exch_GL_Q03">#REF!</definedName>
    <definedName name="PL_Assoc_Depr">#REF!</definedName>
    <definedName name="PL_Assoc_Depr_LE02">#REF!</definedName>
    <definedName name="PL_Assoc_Depr_Q03">#REF!</definedName>
    <definedName name="PL_Assoc_Expl_Exp">#REF!</definedName>
    <definedName name="PL_Assoc_Expl_Exp_LE02">#REF!</definedName>
    <definedName name="PL_Assoc_Expl_Exp_Q03">#REF!</definedName>
    <definedName name="PL_Assoc_Int_And_Oth">#REF!</definedName>
    <definedName name="PL_Assoc_Int_And_Oth_LE02">#REF!</definedName>
    <definedName name="PL_Assoc_Int_And_Oth_Q03">#REF!</definedName>
    <definedName name="PL_Assoc_Int_Exp">#REF!</definedName>
    <definedName name="PL_Assoc_Int_Exp_LE02">#REF!</definedName>
    <definedName name="PL_Assoc_Int_Exp_Q03">#REF!</definedName>
    <definedName name="PL_Assoc_Int_Income">#REF!</definedName>
    <definedName name="PL_Assoc_Int_Income_LE02">#REF!</definedName>
    <definedName name="PL_Assoc_Int_Income_Q03">#REF!</definedName>
    <definedName name="PL_Assoc_Op_Costs">#REF!</definedName>
    <definedName name="PL_Assoc_Op_Costs_LE02">#REF!</definedName>
    <definedName name="PL_Assoc_Op_Costs_Q03">#REF!</definedName>
    <definedName name="PL_Assoc_Op_Profit">#REF!</definedName>
    <definedName name="PL_Assoc_Op_Profit_LE02">#REF!</definedName>
    <definedName name="PL_Assoc_Op_Profit_Q03">#REF!</definedName>
    <definedName name="PL_Assoc_Oth_Exp">#REF!</definedName>
    <definedName name="PL_Assoc_Oth_Exp_LE02">#REF!</definedName>
    <definedName name="PL_Assoc_Oth_Exp_Q03">#REF!</definedName>
    <definedName name="PL_Assoc_Purch">#REF!</definedName>
    <definedName name="PL_Assoc_Purch_LE02">#REF!</definedName>
    <definedName name="PL_Assoc_Purch_Q03">#REF!</definedName>
    <definedName name="PL_Assoc_Royalties">#REF!</definedName>
    <definedName name="PL_Assoc_Royalties_LE02">#REF!</definedName>
    <definedName name="PL_Assoc_Royalties_Q03">#REF!</definedName>
    <definedName name="PL_Assoc_Tax">#REF!</definedName>
    <definedName name="PL_Assoc_Tax_Curr_Yr">#REF!</definedName>
    <definedName name="PL_Assoc_Tax_Curr_Yr_LE02">#REF!</definedName>
    <definedName name="PL_Assoc_Tax_Curr_Yr_Q03">#REF!</definedName>
    <definedName name="PL_Assoc_Tax_LE02">#REF!</definedName>
    <definedName name="PL_Assoc_Tax_Q03">#REF!</definedName>
    <definedName name="PL_CMI_UFIR" localSheetId="27">#REF!</definedName>
    <definedName name="PL_CMI_UFIR">#REF!</definedName>
    <definedName name="PL_Corp_Assoc_Tax">#REF!</definedName>
    <definedName name="PL_Corp_Assoc_Tax_LE02">#REF!</definedName>
    <definedName name="PL_Corp_Assoc_Tax_Q03">#REF!</definedName>
    <definedName name="PL_Corp_Curr_Tax">#REF!</definedName>
    <definedName name="PL_Corp_Curr_Tax_LE02">#REF!</definedName>
    <definedName name="PL_Corp_Curr_Tax_Q03">#REF!</definedName>
    <definedName name="PL_Corp_Def_Tax">#REF!</definedName>
    <definedName name="PL_Corp_Def_Tax_LE02">#REF!</definedName>
    <definedName name="PL_Corp_Def_Tax_Q03">#REF!</definedName>
    <definedName name="PL_COS_Op_Exp">#REF!</definedName>
    <definedName name="PL_COS_Op_Exp_LE02">#REF!</definedName>
    <definedName name="PL_COS_Op_Exp_Q03">#REF!</definedName>
    <definedName name="PL_COS_Oth">#REF!</definedName>
    <definedName name="PL_COS_Oth_LE02">#REF!</definedName>
    <definedName name="PL_COS_Oth_Q03">#REF!</definedName>
    <definedName name="PL_Curr_Ex_Gain_Loss">#REF!</definedName>
    <definedName name="PL_Curr_Ex_Gain_Loss_LE02">#REF!</definedName>
    <definedName name="PL_Curr_Ex_Gain_Loss_Q03">#REF!</definedName>
    <definedName name="PL_Curr_Tax">#REF!</definedName>
    <definedName name="PL_Curr_Tax_LE02">#REF!</definedName>
    <definedName name="PL_Curr_Tax_Q03">#REF!</definedName>
    <definedName name="PL_Def_Tax">#REF!</definedName>
    <definedName name="PL_Def_Tax_LE02">#REF!</definedName>
    <definedName name="PL_Def_Tax_Q03">#REF!</definedName>
    <definedName name="PL_Deferred_Tax">#REF!</definedName>
    <definedName name="PL_Deferred_Tax_LE02">#REF!</definedName>
    <definedName name="PL_Deferred_Tax_Q03">#REF!</definedName>
    <definedName name="PL_Depr">#REF!</definedName>
    <definedName name="PL_Depr_LE02">#REF!</definedName>
    <definedName name="PL_Depr_Op_Exp">#REF!</definedName>
    <definedName name="PL_Depr_Op_Exp_LE02">#REF!</definedName>
    <definedName name="PL_Depr_Op_Exp_Q03">#REF!</definedName>
    <definedName name="PL_Depr_Q03">#REF!</definedName>
    <definedName name="PL_Depr_SDA">#REF!</definedName>
    <definedName name="PL_Depr_SDA_LE02">#REF!</definedName>
    <definedName name="PL_Depr_SDA_Q03">#REF!</definedName>
    <definedName name="PL_DIE_Corp_NG">#REF!</definedName>
    <definedName name="PL_DIE_Corp_NG_LE02">#REF!</definedName>
    <definedName name="PL_DIE_Corp_NG_Q03">#REF!</definedName>
    <definedName name="PL_DIE_Trading">#REF!</definedName>
    <definedName name="PL_DIE_Trading_LE02">#REF!</definedName>
    <definedName name="PL_DIE_Trading_Q03">#REF!</definedName>
    <definedName name="PL_Environ_Cleanup">#REF!</definedName>
    <definedName name="PL_Environ_Cleanup_LE02">#REF!</definedName>
    <definedName name="PL_Environ_Cleanup_Q03">#REF!</definedName>
    <definedName name="PL_GP_Assoc_Costs">#REF!</definedName>
    <definedName name="PL_GP_Assoc_Costs_LE02">#REF!</definedName>
    <definedName name="PL_GP_Assoc_Costs_Q03">#REF!</definedName>
    <definedName name="PL_GP_Costs">#REF!</definedName>
    <definedName name="PL_GP_Costs_LE02">#REF!</definedName>
    <definedName name="PL_GP_Costs_Q03">#REF!</definedName>
    <definedName name="PL_GP_Net_INc_Aft_Tax">#REF!</definedName>
    <definedName name="PL_GP_Net_Inc_Aft_Tax_Excl_Min_Tax">#REF!</definedName>
    <definedName name="PL_GP_Net_Inc_Aft_Tax_Excl_Min_Tax_LE02">#REF!</definedName>
    <definedName name="PL_GP_Net_Inc_Aft_Tax_Excl_Min_Tax_Q03">#REF!</definedName>
    <definedName name="PL_GP_Net_Inc_Aft_Tax_Incl_Min_Tax">#REF!</definedName>
    <definedName name="PL_GP_Net_Inc_Aft_Tax_Incl_Min_Tax_LE02">#REF!</definedName>
    <definedName name="PL_GP_Net_Inc_Aft_Tax_Incl_Min_Tax_Q03">#REF!</definedName>
    <definedName name="PL_GP_Net_INc_Aft_Tax_LE02">#REF!</definedName>
    <definedName name="PL_GP_Net_INc_Aft_Tax_Q03">#REF!</definedName>
    <definedName name="PL_GP_Net_Inc_Min_Tax">#REF!</definedName>
    <definedName name="PL_GP_Net_Inc_Min_Tax_LE02">#REF!</definedName>
    <definedName name="PL_GP_Net_Inc_Min_Tax_Q03">#REF!</definedName>
    <definedName name="PL_GP_Net_Sales_Proc_Assoc">#REF!</definedName>
    <definedName name="PL_GP_Net_Sales_Proc_Assoc_LE02">#REF!</definedName>
    <definedName name="PL_GP_Net_Sales_Proc_Assoc_Q03">#REF!</definedName>
    <definedName name="PL_GP_Op_Profit">#REF!</definedName>
    <definedName name="PL_GP_Op_Profit_LE02">#REF!</definedName>
    <definedName name="PL_GP_Op_Profit_Q03">#REF!</definedName>
    <definedName name="PL_GP_Sales_Proceeds">#REF!</definedName>
    <definedName name="PL_GP_Sales_Proceeds_LE02">#REF!</definedName>
    <definedName name="PL_GP_Sales_Proceeds_Q03">#REF!</definedName>
    <definedName name="PL_GP_Tax">#REF!</definedName>
    <definedName name="PL_GP_Tax_LE02">#REF!</definedName>
    <definedName name="PL_GP_Tax_Q03">#REF!</definedName>
    <definedName name="PL_IG_Interest">#REF!</definedName>
    <definedName name="PL_IG_Interest_LE02">#REF!</definedName>
    <definedName name="PL_IG_Interest_Q03">#REF!</definedName>
    <definedName name="PL_IG_Sales_Proceeds_prod1">#REF!</definedName>
    <definedName name="PL_IG_Sales_Proceeds_prod1_LE02">#REF!</definedName>
    <definedName name="PL_IG_Sales_Proceeds_prod1_Q03">#REF!</definedName>
    <definedName name="PL_IG_Sales_Proceeds_prod2">#REF!</definedName>
    <definedName name="PL_IG_Sales_Proceeds_prod2_LE02">#REF!</definedName>
    <definedName name="PL_IG_Sales_Proceeds_prod2_Q03">#REF!</definedName>
    <definedName name="PL_IG_Sales_Proceeds_prod3">#REF!</definedName>
    <definedName name="PL_IG_Sales_Proceeds_prod3_LE02">#REF!</definedName>
    <definedName name="PL_IG_Sales_Proceeds_prod3_Q03">#REF!</definedName>
    <definedName name="PL_IG_Sales_Proceeds_prod4">#REF!</definedName>
    <definedName name="PL_IG_Sales_Proceeds_prod4_LE02">#REF!</definedName>
    <definedName name="PL_IG_Sales_Proceeds_prod4_Q03">#REF!</definedName>
    <definedName name="PL_IG_Sales_Proceeds_prod5">#REF!</definedName>
    <definedName name="PL_IG_Sales_Proceeds_prod5_LE02">#REF!</definedName>
    <definedName name="PL_IG_Sales_Proceeds_prod5_Q03">#REF!</definedName>
    <definedName name="PL_Impairment">#REF!</definedName>
    <definedName name="PL_Impairment_LE02">#REF!</definedName>
    <definedName name="PL_Impairment_Q03">#REF!</definedName>
    <definedName name="PL_Income_B4_Tax">#REF!</definedName>
    <definedName name="PL_Income_B4_Tax_LE02">#REF!</definedName>
    <definedName name="PL_Income_B4_Tax_Q03">#REF!</definedName>
    <definedName name="PL_Int_Exp_Cap_Credit">#REF!</definedName>
    <definedName name="PL_Int_Exp_Cap_Credit_LE02">#REF!</definedName>
    <definedName name="PL_Int_Exp_Cap_Credit_Q03">#REF!</definedName>
    <definedName name="PL_Interest_and_other">#REF!</definedName>
    <definedName name="PL_Interest_and_other_income">#REF!</definedName>
    <definedName name="PL_Interest_and_other_income_LE02">#REF!</definedName>
    <definedName name="PL_Interest_and_other_income_Q03">#REF!</definedName>
    <definedName name="PL_Interest_and_other_LE02">#REF!</definedName>
    <definedName name="PL_Interest_and_other_Q03">#REF!</definedName>
    <definedName name="PL_Interest_Exp">#REF!</definedName>
    <definedName name="PL_Interest_Exp_LE02">#REF!</definedName>
    <definedName name="PL_Interest_Exp_Q03">#REF!</definedName>
    <definedName name="PL_Interest_income">#REF!</definedName>
    <definedName name="PL_Interest_income_LE02">#REF!</definedName>
    <definedName name="PL_Interest_income_Q03">#REF!</definedName>
    <definedName name="PL_Litigation">#REF!</definedName>
    <definedName name="PL_Litigation_LE02">#REF!</definedName>
    <definedName name="PL_Litigation_Q03">#REF!</definedName>
    <definedName name="PL_Manuf_Costs">#REF!</definedName>
    <definedName name="PL_Manuf_Costs_LE02">#REF!</definedName>
    <definedName name="PL_Manuf_Costs_Q03">#REF!</definedName>
    <definedName name="PL_Manuf_Proc_Fees">#REF!</definedName>
    <definedName name="PL_Manuf_Proc_Fees_LE02">#REF!</definedName>
    <definedName name="PL_Manuf_Proc_Fees_Q03">#REF!</definedName>
    <definedName name="PL_Net_Sales_Proceeds">#REF!</definedName>
    <definedName name="PL_Net_Sales_Proceeds_LE02">#REF!</definedName>
    <definedName name="PL_Net_Sales_Proceeds_Q03">#REF!</definedName>
    <definedName name="PL_NG_Interest_Exp">#REF!</definedName>
    <definedName name="PL_NG_Interest_Exp_LE02">#REF!</definedName>
    <definedName name="PL_NG_Interest_Exp_Q03">#REF!</definedName>
    <definedName name="PL_Op_Costs_Marine">#REF!</definedName>
    <definedName name="PL_Op_Costs_Marine_LE02">#REF!</definedName>
    <definedName name="PL_Op_Costs_Marine_Q03">#REF!</definedName>
    <definedName name="PL_Oth_Rev_Stm1">#REF!</definedName>
    <definedName name="PL_Oth_Rev_Stm1_LE02">#REF!</definedName>
    <definedName name="PL_Oth_Rev_Stm1_Q03">#REF!</definedName>
    <definedName name="PL_Oth_Rev_Stm2">#REF!</definedName>
    <definedName name="PL_Oth_Rev_Stm2_LE02">#REF!</definedName>
    <definedName name="PL_Oth_Rev_Stm2_Q03">#REF!</definedName>
    <definedName name="PL_Oth_Spec">#REF!</definedName>
    <definedName name="PL_Oth_Spec_LE02">#REF!</definedName>
    <definedName name="PL_Oth_Spec_Q03">#REF!</definedName>
    <definedName name="PL_Other">#REF!</definedName>
    <definedName name="PL_Other_income">#REF!</definedName>
    <definedName name="PL_Other_income_LE02">#REF!</definedName>
    <definedName name="PL_Other_income_Q03">#REF!</definedName>
    <definedName name="PL_Other_LE02">#REF!</definedName>
    <definedName name="PL_Other_Q03">#REF!</definedName>
    <definedName name="PL_Other2">#REF!</definedName>
    <definedName name="PL_Other2_LE02">#REF!</definedName>
    <definedName name="PL_Other2_Q03">#REF!</definedName>
    <definedName name="PL_PETROQUISA" localSheetId="27">#REF!</definedName>
    <definedName name="PL_PETROQUISA">#REF!</definedName>
    <definedName name="PL_Prim_Trans">#REF!</definedName>
    <definedName name="PL_Prim_Trans_LE02">#REF!</definedName>
    <definedName name="PL_Prim_Trans_Q03">#REF!</definedName>
    <definedName name="PL_Purchases">#REF!</definedName>
    <definedName name="PL_Purchases_LE02">#REF!</definedName>
    <definedName name="PL_Purchases_Q03">#REF!</definedName>
    <definedName name="PL_Restruct_Redund">#REF!</definedName>
    <definedName name="PL_Restruct_Redund_LE02">#REF!</definedName>
    <definedName name="PL_Restruct_Redund_Q03">#REF!</definedName>
    <definedName name="PL_Royalties">#REF!</definedName>
    <definedName name="PL_Royalties_LE02">#REF!</definedName>
    <definedName name="PL_Royalties_Q03">#REF!</definedName>
    <definedName name="PL_Sell_Dist_Admin_Exp">#REF!</definedName>
    <definedName name="PL_Sell_Dist_Admin_Exp_LE02">#REF!</definedName>
    <definedName name="PL_Sell_Dist_Admin_Exp_Q03">#REF!</definedName>
    <definedName name="PL_Sell_Dist_Exp">#REF!</definedName>
    <definedName name="PL_Sell_Dist_Exp_LE02">#REF!</definedName>
    <definedName name="PL_Sell_Dist_Exp_Q03">#REF!</definedName>
    <definedName name="PL_Share_Assoc_Op_Profit">#REF!</definedName>
    <definedName name="PL_Share_Assoc_Op_Profit_LE02">#REF!</definedName>
    <definedName name="PL_Share_Assoc_Op_Profit_Q03">#REF!</definedName>
    <definedName name="PL_Tax_Curr">#REF!</definedName>
    <definedName name="PL_Tax_Curr_LE02">#REF!</definedName>
    <definedName name="PL_Tax_Curr_Q03">#REF!</definedName>
    <definedName name="PL_Tax_On_Specs">#REF!</definedName>
    <definedName name="PL_Tax_On_Specs_LE02">#REF!</definedName>
    <definedName name="PL_Tax_On_Specs_Q03">#REF!</definedName>
    <definedName name="PL_Tot_3rd_pty_Sales_Proceeds">#REF!</definedName>
    <definedName name="PL_Tot_3rd_pty_Sales_Proceeds_LE02">#REF!</definedName>
    <definedName name="PL_Tot_3rd_pty_Sales_Proceeds_prod1">#REF!</definedName>
    <definedName name="PL_Tot_3rd_pty_Sales_Proceeds_prod1_LE02">#REF!</definedName>
    <definedName name="PL_Tot_3rd_pty_Sales_Proceeds_prod1_Q03">#REF!</definedName>
    <definedName name="PL_Tot_3rd_pty_Sales_Proceeds_prod2">#REF!</definedName>
    <definedName name="PL_Tot_3rd_pty_Sales_Proceeds_prod2_LE02">#REF!</definedName>
    <definedName name="PL_Tot_3rd_pty_Sales_Proceeds_prod2_Q03">#REF!</definedName>
    <definedName name="PL_Tot_3rd_pty_Sales_Proceeds_prod3">#REF!</definedName>
    <definedName name="PL_Tot_3rd_pty_Sales_Proceeds_prod3_LE02">#REF!</definedName>
    <definedName name="PL_Tot_3rd_pty_Sales_Proceeds_prod3_Q03">#REF!</definedName>
    <definedName name="PL_Tot_3rd_pty_Sales_Proceeds_prod4">#REF!</definedName>
    <definedName name="PL_Tot_3rd_pty_Sales_Proceeds_prod4_LE02">#REF!</definedName>
    <definedName name="PL_Tot_3rd_pty_Sales_Proceeds_prod4_Q03">#REF!</definedName>
    <definedName name="PL_Tot_3rd_pty_Sales_Proceeds_prod5">#REF!</definedName>
    <definedName name="PL_Tot_3rd_pty_Sales_Proceeds_prod5_LE02">#REF!</definedName>
    <definedName name="PL_Tot_3rd_pty_Sales_Proceeds_prod5_Q03">#REF!</definedName>
    <definedName name="PL_Tot_3rd_pty_Sales_Proceeds_Q03">#REF!</definedName>
    <definedName name="PL_Tot_Oth_Rev">#REF!</definedName>
    <definedName name="PL_Tot_Oth_Rev_LE02">#REF!</definedName>
    <definedName name="PL_Tot_Oth_Rev_Q03">#REF!</definedName>
    <definedName name="PL_Tot_Spec_Items">#REF!</definedName>
    <definedName name="PL_Tot_Spec_Items_LE02">#REF!</definedName>
    <definedName name="PL_Tot_Spec_Items_Q03">#REF!</definedName>
    <definedName name="PL_Tot_Transfer_Proceeds">#REF!</definedName>
    <definedName name="PL_Tot_Transfer_Proceeds_LE02">#REF!</definedName>
    <definedName name="PL_Tot_Transfer_Proceeds_Q03">#REF!</definedName>
    <definedName name="PL_Withhold_Tax">#REF!</definedName>
    <definedName name="PL_Withhold_Tax_LE02">#REF!</definedName>
    <definedName name="PL_Withhold_Tax_Q03">#REF!</definedName>
    <definedName name="PLA_AFONSO">#REF!</definedName>
    <definedName name="PLA_AMAURY">#REF!</definedName>
    <definedName name="plan2" localSheetId="27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plan2" localSheetId="0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plan2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PlanCost">#REF!</definedName>
    <definedName name="Planilhas" localSheetId="27">#REF!</definedName>
    <definedName name="Planilhas">#REF!</definedName>
    <definedName name="PlanSales">#REF!</definedName>
    <definedName name="plassarelas">#REF!</definedName>
    <definedName name="PLATTS">#REF!</definedName>
    <definedName name="PLATTS_1">#REF!</definedName>
    <definedName name="PN">#REF!</definedName>
    <definedName name="POI" localSheetId="27">#REF!</definedName>
    <definedName name="poi" localSheetId="0">recuperação #REF!</definedName>
    <definedName name="POI">#REF!</definedName>
    <definedName name="POIL" localSheetId="27">#REF!</definedName>
    <definedName name="POIL">#REF!</definedName>
    <definedName name="Polinomica_T2" localSheetId="27">#REF!</definedName>
    <definedName name="Polinomica_T2">#REF!</definedName>
    <definedName name="Polinomica_T3" localSheetId="27">#REF!</definedName>
    <definedName name="Polinomica_T3">#REF!</definedName>
    <definedName name="POLPO" localSheetId="27">#REF!</definedName>
    <definedName name="POLPO">#REF!</definedName>
    <definedName name="ponte" localSheetId="27">#REF!</definedName>
    <definedName name="ponte">#REF!</definedName>
    <definedName name="POP_93">#N/A</definedName>
    <definedName name="Portagem_Receitas" localSheetId="27" hidden="1">#REF!</definedName>
    <definedName name="Portagem_Receitas" localSheetId="0" hidden="1">#REF!</definedName>
    <definedName name="Portagem_Receitas" hidden="1">#REF!</definedName>
    <definedName name="Portagem_Receitas_Estrutura" localSheetId="27" hidden="1">#REF!</definedName>
    <definedName name="Portagem_Receitas_Estrutura" localSheetId="0" hidden="1">#REF!</definedName>
    <definedName name="Portagem_Receitas_Estrutura" hidden="1">#REF!</definedName>
    <definedName name="Portagem_Receitascl1" localSheetId="27" hidden="1">#REF!</definedName>
    <definedName name="Portagem_Receitascl1" localSheetId="0" hidden="1">#REF!</definedName>
    <definedName name="Portagem_Receitascl1" hidden="1">#REF!</definedName>
    <definedName name="Portagem_Receitascl2" localSheetId="0" hidden="1">#REF!</definedName>
    <definedName name="Portagem_Receitascl2" hidden="1">#REF!</definedName>
    <definedName name="Portagem_Receitascl3" localSheetId="0" hidden="1">#REF!</definedName>
    <definedName name="Portagem_Receitascl3" hidden="1">#REF!</definedName>
    <definedName name="Portagem_Receitascl4" localSheetId="0" hidden="1">#REF!</definedName>
    <definedName name="Portagem_Receitascl4" hidden="1">#REF!</definedName>
    <definedName name="Portagem_Taxascl1" localSheetId="0" hidden="1">#REF!</definedName>
    <definedName name="Portagem_Taxascl1" hidden="1">#REF!</definedName>
    <definedName name="Portagem_Taxascl2" localSheetId="0" hidden="1">#REF!</definedName>
    <definedName name="Portagem_Taxascl2" hidden="1">#REF!</definedName>
    <definedName name="Portagem_Taxascl3" localSheetId="0" hidden="1">#REF!</definedName>
    <definedName name="Portagem_Taxascl3" hidden="1">#REF!</definedName>
    <definedName name="Portagem_Taxascl4" localSheetId="0" hidden="1">#REF!</definedName>
    <definedName name="Portagem_Taxascl4" hidden="1">#REF!</definedName>
    <definedName name="POS_FINANC_ACUM">#REF!</definedName>
    <definedName name="POS_FINANC_MÊS">#REF!</definedName>
    <definedName name="PotenciaFirme">#REF!</definedName>
    <definedName name="PP" localSheetId="0">recuperação #REF!</definedName>
    <definedName name="pp">#N/A</definedName>
    <definedName name="PP_VEN">#REF!</definedName>
    <definedName name="PPCS" localSheetId="27">#REF!</definedName>
    <definedName name="PPCS">#REF!</definedName>
    <definedName name="pppp">#N/A</definedName>
    <definedName name="ppppp">#N/A</definedName>
    <definedName name="pppppp">#N/A</definedName>
    <definedName name="ppppppp">#N/A</definedName>
    <definedName name="pppppppp">#N/A</definedName>
    <definedName name="ppppppppp">#N/A</definedName>
    <definedName name="pppppppppo" localSheetId="27" hidden="1">#REF!</definedName>
    <definedName name="pppppppppo" localSheetId="0" hidden="1">#REF!</definedName>
    <definedName name="pppppppppo" hidden="1">#REF!</definedName>
    <definedName name="pppppppppp">#N/A</definedName>
    <definedName name="ppppppppppc" localSheetId="27" hidden="1">#REF!</definedName>
    <definedName name="ppppppppppc" localSheetId="0" hidden="1">#REF!</definedName>
    <definedName name="ppppppppppc" hidden="1">#REF!</definedName>
    <definedName name="pr" hidden="1">{"inputs raw data",#N/A,TRUE,"INPUT"}</definedName>
    <definedName name="pre_oper_cs">#REF!</definedName>
    <definedName name="pre_oper_cs_asahi">#REF!</definedName>
    <definedName name="pre_oper_cs_uhde" localSheetId="27">#REF!</definedName>
    <definedName name="pre_oper_cs_uhde">#REF!</definedName>
    <definedName name="pre_oper_dce">#REF!</definedName>
    <definedName name="preco_Cl2_07">#REF!</definedName>
    <definedName name="preco_Cl2_08">#REF!</definedName>
    <definedName name="preco_Cl2_09">#REF!</definedName>
    <definedName name="preco_Cl2_10">#REF!</definedName>
    <definedName name="preco_Cl2_11">#REF!</definedName>
    <definedName name="preco_Cl2_12">#REF!</definedName>
    <definedName name="preco_Cl2_13">#REF!</definedName>
    <definedName name="preco_Cl2_14">#REF!</definedName>
    <definedName name="preco_Cl2_15">#REF!</definedName>
    <definedName name="preco_Cl2_16">#REF!</definedName>
    <definedName name="preco_Cl2_17">#REF!</definedName>
    <definedName name="PREÇO_COBALTO">#REF!</definedName>
    <definedName name="preco_DCE_07">#REF!</definedName>
    <definedName name="preco_DCE_08">#REF!</definedName>
    <definedName name="preco_DCE_09">#REF!</definedName>
    <definedName name="preco_DCE_10">#REF!</definedName>
    <definedName name="preco_DCE_11">#REF!</definedName>
    <definedName name="preco_DCE_12">#REF!</definedName>
    <definedName name="preco_DCE_13">#REF!</definedName>
    <definedName name="preco_DCE_14">#REF!</definedName>
    <definedName name="preco_DCE_15">#REF!</definedName>
    <definedName name="preco_DCE_16">#REF!</definedName>
    <definedName name="preco_DCE_17">#REF!</definedName>
    <definedName name="preco_energia_07">#REF!</definedName>
    <definedName name="preco_energia_08">#REF!</definedName>
    <definedName name="preco_energia_09">#REF!</definedName>
    <definedName name="preco_energia_10">#REF!</definedName>
    <definedName name="preco_energia_11">#REF!</definedName>
    <definedName name="preco_energia_12">#REF!</definedName>
    <definedName name="preco_energia_13">#REF!</definedName>
    <definedName name="preco_energia_14">#REF!</definedName>
    <definedName name="preco_energia_15">#REF!</definedName>
    <definedName name="preco_energia_16">#REF!</definedName>
    <definedName name="preco_energia_17">#REF!</definedName>
    <definedName name="preco_eteno_07">#REF!</definedName>
    <definedName name="preco_eteno_08">#REF!</definedName>
    <definedName name="preco_eteno_09">#REF!</definedName>
    <definedName name="preco_eteno_10">#REF!</definedName>
    <definedName name="preco_eteno_11">#REF!</definedName>
    <definedName name="preco_eteno_12">#REF!</definedName>
    <definedName name="preco_eteno_13">#REF!</definedName>
    <definedName name="preco_eteno_14">#REF!</definedName>
    <definedName name="preco_eteno_15">#REF!</definedName>
    <definedName name="preco_eteno_16">#REF!</definedName>
    <definedName name="preco_eteno_17">#REF!</definedName>
    <definedName name="preco_H2_07">#REF!</definedName>
    <definedName name="preco_H2_08">#REF!</definedName>
    <definedName name="preco_H2_09">#REF!</definedName>
    <definedName name="preco_H2_10">#REF!</definedName>
    <definedName name="preco_H2_11">#REF!</definedName>
    <definedName name="preco_H2_12">#REF!</definedName>
    <definedName name="preco_H2_13">#REF!</definedName>
    <definedName name="preco_H2_14">#REF!</definedName>
    <definedName name="preco_H2_15">#REF!</definedName>
    <definedName name="preco_H2_16">#REF!</definedName>
    <definedName name="preco_H2_17">#REF!</definedName>
    <definedName name="preco_HCl_07">#REF!</definedName>
    <definedName name="preco_HCl_08">#REF!</definedName>
    <definedName name="preco_HCl_09">#REF!</definedName>
    <definedName name="preco_HCl_10">#REF!</definedName>
    <definedName name="preco_HCl_11">#REF!</definedName>
    <definedName name="preco_HCl_12">#REF!</definedName>
    <definedName name="preco_HCl_13">#REF!</definedName>
    <definedName name="preco_HCl_14">#REF!</definedName>
    <definedName name="preco_HCl_15">#REF!</definedName>
    <definedName name="preco_HCl_16">#REF!</definedName>
    <definedName name="preco_HCl_17">#REF!</definedName>
    <definedName name="preco_hipo_07">#REF!</definedName>
    <definedName name="preco_hipo_08">#REF!</definedName>
    <definedName name="preco_hipo_09">#REF!</definedName>
    <definedName name="preco_hipo_10">#REF!</definedName>
    <definedName name="preco_hipo_11">#REF!</definedName>
    <definedName name="preco_hipo_12">#REF!</definedName>
    <definedName name="preco_hipo_13">#REF!</definedName>
    <definedName name="preco_hipo_14">#REF!</definedName>
    <definedName name="preco_hipo_15">#REF!</definedName>
    <definedName name="preco_hipo_16">#REF!</definedName>
    <definedName name="preco_hipo_17">#REF!</definedName>
    <definedName name="preco_medio_elet">#REF!</definedName>
    <definedName name="PREÇO_NÍQUEL">#REF!</definedName>
    <definedName name="preco_soda_07">#REF!</definedName>
    <definedName name="preco_soda_08">#REF!</definedName>
    <definedName name="preco_soda_09">#REF!</definedName>
    <definedName name="preco_soda_10">#REF!</definedName>
    <definedName name="preco_soda_11">#REF!</definedName>
    <definedName name="preco_soda_12">#REF!</definedName>
    <definedName name="preco_soda_13">#REF!</definedName>
    <definedName name="preco_soda_14">#REF!</definedName>
    <definedName name="preco_soda_15">#REF!</definedName>
    <definedName name="preco_soda_16">#REF!</definedName>
    <definedName name="preco_soda_17">#REF!</definedName>
    <definedName name="PREÇOS_PROJETADOS_PARA_COMPRA" localSheetId="27">#REF!</definedName>
    <definedName name="PREÇOS_PROJETADOS_PARA_COMPRA">#REF!</definedName>
    <definedName name="PREÇOS_PROJETADOS_PARA_VENDA_ME">#REF!</definedName>
    <definedName name="PREÇOS_PROJETADOS_PARA_VENDA_MI">#REF!</definedName>
    <definedName name="previsto" localSheetId="27">#REF!</definedName>
    <definedName name="previsto">#REF!</definedName>
    <definedName name="principal">0.2225</definedName>
    <definedName name="PRINT_AREA_MI" localSheetId="27">#REF!</definedName>
    <definedName name="PRINT_AREA_MI">#REF!</definedName>
    <definedName name="PRINT_TITLES_MI" localSheetId="27">#REF!</definedName>
    <definedName name="PRINT_TITLES_MI">#REF!</definedName>
    <definedName name="prod_dce">#REF!</definedName>
    <definedName name="prod_disp_H2">#REF!</definedName>
    <definedName name="prod_disp_HCl">#REF!</definedName>
    <definedName name="prod_disp_hipo">#REF!</definedName>
    <definedName name="prod_disp_soda">#REF!</definedName>
    <definedName name="prod_existente_cloro" localSheetId="27">#REF!</definedName>
    <definedName name="prod_existente_cloro">#REF!</definedName>
    <definedName name="prod_existente_soda" localSheetId="27">#REF!</definedName>
    <definedName name="prod_existente_soda">#REF!</definedName>
    <definedName name="prod_nova_cloro">#REF!</definedName>
    <definedName name="prod_nova_soda">#REF!</definedName>
    <definedName name="prod_total_DCE">#REF!</definedName>
    <definedName name="product">#REF!</definedName>
    <definedName name="Produto">#REF!</definedName>
    <definedName name="produtos">#REF!</definedName>
    <definedName name="ProImportExport.ImportFile">#REF!</definedName>
    <definedName name="ProImportExport.SaveNewFile">#REF!</definedName>
    <definedName name="proj_ativo_2anos" localSheetId="27">#REF!</definedName>
    <definedName name="proj_ativo_2anos">#REF!</definedName>
    <definedName name="proj_dre_2anos" localSheetId="27">#REF!</definedName>
    <definedName name="proj_dre_2anos">#REF!</definedName>
    <definedName name="proj_fcd_2anos" localSheetId="27">#REF!</definedName>
    <definedName name="proj_fcd_2anos">#REF!</definedName>
    <definedName name="proj_passivo_2anos">#REF!</definedName>
    <definedName name="Projetar_Ate" localSheetId="0">#REF!</definedName>
    <definedName name="Projetar_Ate">#REF!</definedName>
    <definedName name="PROPPOLI" localSheetId="27">#REF!</definedName>
    <definedName name="PROPPOLI">#REF!</definedName>
    <definedName name="PX" localSheetId="27">#REF!</definedName>
    <definedName name="PX">#REF!</definedName>
    <definedName name="q" localSheetId="0">#REF!</definedName>
    <definedName name="q">#N/A</definedName>
    <definedName name="qaa" localSheetId="27" hidden="1">{#N/A,#N/A,FALSE,"Plan1";#N/A,#N/A,FALSE,"Plan2"}</definedName>
    <definedName name="qaa" localSheetId="0" hidden="1">{#N/A,#N/A,FALSE,"Plan1";#N/A,#N/A,FALSE,"Plan2"}</definedName>
    <definedName name="qaa" hidden="1">{#N/A,#N/A,FALSE,"Plan1";#N/A,#N/A,FALSE,"Plan2"}</definedName>
    <definedName name="QD_Balanços" localSheetId="27" hidden="1">#REF!</definedName>
    <definedName name="QD_Balanços" localSheetId="0" hidden="1">#REF!</definedName>
    <definedName name="QD_Balanços" hidden="1">#REF!</definedName>
    <definedName name="QD_DemonstraçãoFluxosCaixa" localSheetId="27" hidden="1">#REF!</definedName>
    <definedName name="QD_DemonstraçãoFluxosCaixa" localSheetId="0" hidden="1">#REF!</definedName>
    <definedName name="QD_DemonstraçãoFluxosCaixa" hidden="1">#REF!</definedName>
    <definedName name="QD_DemonstraçãoResultados" localSheetId="27" hidden="1">#REF!</definedName>
    <definedName name="QD_DemonstraçãoResultados" localSheetId="0" hidden="1">#REF!</definedName>
    <definedName name="QD_DemonstraçãoResultados" hidden="1">#REF!</definedName>
    <definedName name="QD_FundosPróprios" localSheetId="0" hidden="1">#REF!</definedName>
    <definedName name="QD_FundosPróprios" hidden="1">#REF!</definedName>
    <definedName name="QD_MOAF" localSheetId="0" hidden="1">#REF!</definedName>
    <definedName name="QD_MOAF" hidden="1">#REF!</definedName>
    <definedName name="qq" localSheetId="27" hidden="1">{#N/A,#N/A,FALSE,"Aging Summary";#N/A,#N/A,FALSE,"Ratio Analysis";#N/A,#N/A,FALSE,"Test 120 Day Accts";#N/A,#N/A,FALSE,"Tickmarks"}</definedName>
    <definedName name="qq" localSheetId="0" hidden="1">{#N/A,#N/A,FALSE,"Aging Summary";#N/A,#N/A,FALSE,"Ratio Analysis";#N/A,#N/A,FALSE,"Test 120 Day Accts";#N/A,#N/A,FALSE,"Tickmarks"}</definedName>
    <definedName name="qq" localSheetId="26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" localSheetId="27">#N/A</definedName>
    <definedName name="qqq" localSheetId="0">recuperação #REF!</definedName>
    <definedName name="qqq" localSheetId="26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" localSheetId="27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" localSheetId="0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" localSheetId="26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q" localSheetId="27">#N/A</definedName>
    <definedName name="qqqqq" localSheetId="26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q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qq" localSheetId="27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" localSheetId="0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" localSheetId="26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q" localSheetId="27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q" localSheetId="0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q" localSheetId="26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q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qq" localSheetId="27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qqqqqqqq" localSheetId="0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qqqqqqqq" localSheetId="26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qqqqqqqq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qqqqqqqqq" localSheetId="27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qqqqqqqqq" localSheetId="0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qqqqqqqqq" localSheetId="26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qqqqqqqqq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qqqqqqqqqqqq" localSheetId="27" hidden="1">#REF!</definedName>
    <definedName name="qqqqqqqqqqqq" localSheetId="0" hidden="1">#REF!</definedName>
    <definedName name="qqqqqqqqqqqq" hidden="1">#REF!</definedName>
    <definedName name="qqww">#N/A</definedName>
    <definedName name="quador">recuperação #REF!</definedName>
    <definedName name="quadrobtt">recuperação #REF!</definedName>
    <definedName name="QuadroDividaModelo" localSheetId="27" hidden="1">#REF!</definedName>
    <definedName name="QuadroDividaModelo" localSheetId="0" hidden="1">#REF!</definedName>
    <definedName name="QuadroDividaModelo" hidden="1">#REF!</definedName>
    <definedName name="QuadroDividaUtilizador" localSheetId="27" hidden="1">#REF!</definedName>
    <definedName name="QuadroDividaUtilizador" localSheetId="0" hidden="1">#REF!</definedName>
    <definedName name="QuadroDividaUtilizador" hidden="1">#REF!</definedName>
    <definedName name="qwerqwer" localSheetId="27" hidden="1">{#N/A,#N/A,FALSE,"Plan1";#N/A,#N/A,FALSE,"Plan2"}</definedName>
    <definedName name="qwerqwer" localSheetId="0" hidden="1">{#N/A,#N/A,FALSE,"Plan1";#N/A,#N/A,FALSE,"Plan2"}</definedName>
    <definedName name="qwerqwer" hidden="1">{#N/A,#N/A,FALSE,"Plan1";#N/A,#N/A,FALSE,"Plan2"}</definedName>
    <definedName name="qwerwerqwer" localSheetId="27" hidden="1">{#N/A,#N/A,FALSE,"Plan1";#N/A,#N/A,FALSE,"Plan2"}</definedName>
    <definedName name="qwerwerqwer" localSheetId="0" hidden="1">{#N/A,#N/A,FALSE,"Plan1";#N/A,#N/A,FALSE,"Plan2"}</definedName>
    <definedName name="qwerwerqwer" hidden="1">{#N/A,#N/A,FALSE,"Plan1";#N/A,#N/A,FALSE,"Plan2"}</definedName>
    <definedName name="QWQW" localSheetId="0" hidden="1">#REF!</definedName>
    <definedName name="QWQW" hidden="1">#REF!</definedName>
    <definedName name="qwqwe" localSheetId="27" hidden="1">#REF!</definedName>
    <definedName name="qwqwe" localSheetId="0" hidden="1">#REF!</definedName>
    <definedName name="qwqwe" hidden="1">#REF!</definedName>
    <definedName name="qwqwqwqwq">#N/A</definedName>
    <definedName name="qwqwqwqwqw" localSheetId="27" hidden="1">#REF!</definedName>
    <definedName name="qwqwqwqwqw" localSheetId="0" hidden="1">#REF!</definedName>
    <definedName name="qwqwqwqwqw" hidden="1">#REF!</definedName>
    <definedName name="qwqwwqw" localSheetId="27" hidden="1">#REF!</definedName>
    <definedName name="qwqwwqw" localSheetId="0" hidden="1">#REF!</definedName>
    <definedName name="qwqwwqw" hidden="1">#REF!</definedName>
    <definedName name="QWVFERYB" localSheetId="27" hidden="1">#REF!</definedName>
    <definedName name="QWVFERYB" localSheetId="0" hidden="1">#REF!</definedName>
    <definedName name="QWVFERYB" hidden="1">#REF!</definedName>
    <definedName name="range_aporte_copiar">#REF!</definedName>
    <definedName name="ratios">#REF!</definedName>
    <definedName name="RAWEF" localSheetId="27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RAWEF" localSheetId="0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RAWEF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REAJUSTEP5" localSheetId="27">#REF!</definedName>
    <definedName name="REAJUSTEP5">#REF!</definedName>
    <definedName name="real" localSheetId="27">#REF!</definedName>
    <definedName name="real">#REF!</definedName>
    <definedName name="real_dolar">#REF!</definedName>
    <definedName name="RealAtual">#REF!</definedName>
    <definedName name="Rec.Sist.2000">#REF!</definedName>
    <definedName name="Rec.Sist.98">#REF!</definedName>
    <definedName name="Rec.Sist.99">#REF!</definedName>
    <definedName name="Rec.Sist.Sáb.98">#REF!</definedName>
    <definedName name="Rec.Sist.Sáb99">#REF!</definedName>
    <definedName name="rec_oper_01">#REF!</definedName>
    <definedName name="rec_oper_02">#REF!</definedName>
    <definedName name="rec_oper_03">#REF!</definedName>
    <definedName name="rec_oper_04">#REF!</definedName>
    <definedName name="rec_oper_05">#REF!</definedName>
    <definedName name="rec_oper_06">#REF!</definedName>
    <definedName name="rec_oper_07">#REF!</definedName>
    <definedName name="rec_oper_08">#REF!</definedName>
    <definedName name="rec_oper_09">#REF!</definedName>
    <definedName name="rec_oper_10">#REF!</definedName>
    <definedName name="receita" localSheetId="27">#REF!</definedName>
    <definedName name="receita">#REF!</definedName>
    <definedName name="RECUPERACAOP5" localSheetId="27">#REF!</definedName>
    <definedName name="RECUPERACAOP5">#REF!</definedName>
    <definedName name="Ref_12" localSheetId="27">#REF!</definedName>
    <definedName name="Ref_12">#REF!</definedName>
    <definedName name="Ref_13">#REF!</definedName>
    <definedName name="Ref_14">#REF!</definedName>
    <definedName name="Ref_15">#REF!</definedName>
    <definedName name="Ref_16">#REF!</definedName>
    <definedName name="Ref_17">#REF!</definedName>
    <definedName name="Ref_18">#REF!</definedName>
    <definedName name="Ref_19">#REF!</definedName>
    <definedName name="Ref_20">#REF!</definedName>
    <definedName name="Ref_21">#REF!</definedName>
    <definedName name="Ref_22">#REF!</definedName>
    <definedName name="Ref_23">#REF!</definedName>
    <definedName name="Ref_24">#REF!</definedName>
    <definedName name="Ref_25">#REF!</definedName>
    <definedName name="Ref_26">#REF!</definedName>
    <definedName name="Ref_27">#REF!</definedName>
    <definedName name="Ref_30">#REF!</definedName>
    <definedName name="Ref_31">#REF!</definedName>
    <definedName name="Ref_32">#REF!</definedName>
    <definedName name="Ref_33">#REF!</definedName>
    <definedName name="Ref_34">#REF!</definedName>
    <definedName name="Ref_35">#REF!</definedName>
    <definedName name="Ref_36">#REF!</definedName>
    <definedName name="Ref_6">#REF!,#REF!</definedName>
    <definedName name="Ref_8" localSheetId="27">#REF!</definedName>
    <definedName name="Ref_8">#REF!</definedName>
    <definedName name="Ref_9" localSheetId="27">#REF!</definedName>
    <definedName name="Ref_9">#REF!</definedName>
    <definedName name="references">#REF!</definedName>
    <definedName name="references2">#REF!,#REF!,#REF!,#REF!,#REF!,#REF!,#REF!,#REF!,#REF!,#REF!,#REF!,#REF!,#REF!,#REF!,#REF!,#REF!,#REF!,#REF!,#REF!,#REF!,#REF!,#REF!,#REF!,#REF!,#REF!,#REF!,#REF!</definedName>
    <definedName name="referenciaf">#REF!</definedName>
    <definedName name="referenciafinal">#REF!</definedName>
    <definedName name="referencias">#REF!</definedName>
    <definedName name="referências">#REF!</definedName>
    <definedName name="REGID">#REF!</definedName>
    <definedName name="RelatórioRecorde">#REF!</definedName>
    <definedName name="RENDIMENTO">#REF!</definedName>
    <definedName name="RES">#REF!</definedName>
    <definedName name="RES_1" localSheetId="27">#REF!</definedName>
    <definedName name="RES_1">#REF!</definedName>
    <definedName name="RES_2" localSheetId="27">#REF!</definedName>
    <definedName name="RES_2">#REF!</definedName>
    <definedName name="res_analit_LS" localSheetId="27">#REF!</definedName>
    <definedName name="res_analit_LS">#REF!</definedName>
    <definedName name="rescanteiro">#REF!</definedName>
    <definedName name="resliquido">#REF!</definedName>
    <definedName name="RESUL_CMI">#REF!</definedName>
    <definedName name="RESUL_CMI_UFIR">#REF!</definedName>
    <definedName name="RESUL_CMI_US">#REF!</definedName>
    <definedName name="RESUL_LS">#REF!</definedName>
    <definedName name="result_analit">#REF!</definedName>
    <definedName name="result_analit_LS1">#REF!</definedName>
    <definedName name="result_analit_LS2">#REF!</definedName>
    <definedName name="result_analit1">#REF!</definedName>
    <definedName name="result_analit2">#REF!</definedName>
    <definedName name="RESULTADO">#REF!</definedName>
    <definedName name="RESULTADO_SINTÉTICO">#REF!</definedName>
    <definedName name="resultado2">#REF!</definedName>
    <definedName name="resumotaxas" localSheetId="0">#REF!</definedName>
    <definedName name="resumotaxas">#REF!</definedName>
    <definedName name="resumotaxas_mensal" localSheetId="0">#REF!</definedName>
    <definedName name="resumotaxas_mensal">#REF!</definedName>
    <definedName name="rewewqwr" localSheetId="27" hidden="1">#REF!</definedName>
    <definedName name="rewewqwr" localSheetId="0" hidden="1">#REF!</definedName>
    <definedName name="rewewqwr" hidden="1">#REF!</definedName>
    <definedName name="rewrwr" localSheetId="27" hidden="1">#REF!</definedName>
    <definedName name="rewrwr" localSheetId="0" hidden="1">#REF!</definedName>
    <definedName name="rewrwr" hidden="1">#REF!</definedName>
    <definedName name="rgfvdz" localSheetId="27" hidden="1">#REF!</definedName>
    <definedName name="rgfvdz" localSheetId="0" hidden="1">#REF!</definedName>
    <definedName name="rgfvdz" hidden="1">#REF!</definedName>
    <definedName name="ribeiro" hidden="1">{"TotalGeralDespesasPorArea",#N/A,FALSE,"VinculosAccessEfetivo"}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>2</definedName>
    <definedName name="RiskExcelReportsGoInNewWorkbook">TRUE</definedName>
    <definedName name="RiskExcelReportsToGenerate">0</definedName>
    <definedName name="RiskFixedSeed">1</definedName>
    <definedName name="RiskGenerateExcelReportsAtEndOfSimulation">FALSE</definedName>
    <definedName name="RiskHasSettings">TRUE</definedName>
    <definedName name="RiskMinimizeOnStart">FALSE</definedName>
    <definedName name="RiskMonitorConvergence">FALSE</definedName>
    <definedName name="RiskNumIterations">100</definedName>
    <definedName name="RiskNumSimulations">1</definedName>
    <definedName name="RiskPauseOnError">FALSE</definedName>
    <definedName name="RiskRealTimeResults">FALSE</definedName>
    <definedName name="RiskReportGraphFormat">0</definedName>
    <definedName name="RiskResultsUpdateFreq">100</definedName>
    <definedName name="RiskRunAfterRecalcMacro">FALSE</definedName>
    <definedName name="RiskRunAfterSimMacro">FALSE</definedName>
    <definedName name="RiskRunBeforeRecalcMacro">FALSE</definedName>
    <definedName name="RiskRunBeforeSimMacro">FALSE</definedName>
    <definedName name="RiskSamplingType">3</definedName>
    <definedName name="RiskShowRiskWindowAtEndOfSimulation">TRUE</definedName>
    <definedName name="RiskStandardRecalc">2</definedName>
    <definedName name="RiskStatFunctionsUpdateFreq">1</definedName>
    <definedName name="RiskTemplateSheetName">"myTemplate"</definedName>
    <definedName name="RiskUpdateDisplay">FALSE</definedName>
    <definedName name="RiskUpdateStatFunctions">TRUE</definedName>
    <definedName name="RiskUseDifferentSeedForEachSim">FALSE</definedName>
    <definedName name="RiskUseFixedSeed">FALSE</definedName>
    <definedName name="RiskUseMultipleCPUs">FALSE</definedName>
    <definedName name="Ro" localSheetId="27">#REF!</definedName>
    <definedName name="Ro">#REF!</definedName>
    <definedName name="Rob" localSheetId="27">#REF!</definedName>
    <definedName name="Rob">#REF!</definedName>
    <definedName name="ROTEIRO">#REF!</definedName>
    <definedName name="RowLevel" hidden="1">1</definedName>
    <definedName name="rrrr" localSheetId="27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rrrr" localSheetId="0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rrrr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rrrrr" localSheetId="27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rrrrr" localSheetId="0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rrrrr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rrrrrrrrrrrrrr" localSheetId="27" hidden="1">#REF!</definedName>
    <definedName name="rrrrrrrrrrrrrr" localSheetId="0" hidden="1">#REF!</definedName>
    <definedName name="rrrrrrrrrrrrrr" hidden="1">#REF!</definedName>
    <definedName name="rtwret" localSheetId="27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rtwret" localSheetId="0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rtwret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rtyutryu" localSheetId="27" hidden="1">{"tabela",#N/A,FALSE,"Tabela";"decoração",#N/A,FALSE,"Decor.";"Informações",#N/A,FALSE,"Inform."}</definedName>
    <definedName name="rtyutryu" localSheetId="0" hidden="1">{"tabela",#N/A,FALSE,"Tabela";"decoração",#N/A,FALSE,"Decor.";"Informações",#N/A,FALSE,"Inform."}</definedName>
    <definedName name="rtyutryu" hidden="1">{"tabela",#N/A,FALSE,"Tabela";"decoração",#N/A,FALSE,"Decor.";"Informações",#N/A,FALSE,"Inform."}</definedName>
    <definedName name="s" localSheetId="27" hidden="1">{#N/A,#N/A,FALSE,"Plan1";#N/A,#N/A,FALSE,"Plan2"}</definedName>
    <definedName name="s" localSheetId="0" hidden="1">{#N/A,#N/A,FALSE,"Plan1";#N/A,#N/A,FALSE,"Plan2"}</definedName>
    <definedName name="s" hidden="1">{#N/A,#N/A,FALSE,"Plan1";#N/A,#N/A,FALSE,"Plan2"}</definedName>
    <definedName name="S_AcctDes" localSheetId="27">#REF!</definedName>
    <definedName name="S_AcctDes">#REF!</definedName>
    <definedName name="S_Adjust" localSheetId="27">#REF!</definedName>
    <definedName name="S_Adjust">#REF!</definedName>
    <definedName name="S_Adjust_Data" localSheetId="27">#REF!</definedName>
    <definedName name="S_Adjust_Data">#REF!</definedName>
    <definedName name="S_Adjust_GT">#REF!</definedName>
    <definedName name="S_AJE_Tot">#REF!</definedName>
    <definedName name="S_AJE_Tot_Data">#REF!</definedName>
    <definedName name="S_AJE_Tot_GT">#REF!</definedName>
    <definedName name="S_CompNum">#REF!</definedName>
    <definedName name="S_CY_Beg">#REF!</definedName>
    <definedName name="S_CY_Beg_Data">#REF!</definedName>
    <definedName name="S_CY_Beg_GT">#REF!</definedName>
    <definedName name="S_CY_End">#REF!</definedName>
    <definedName name="S_CY_End_Data">#REF!</definedName>
    <definedName name="S_CY_End_GT">#REF!</definedName>
    <definedName name="S_Diff_Amt">#REF!</definedName>
    <definedName name="S_Diff_Pct">#REF!</definedName>
    <definedName name="S_GrpNum">#REF!</definedName>
    <definedName name="S_Headings">#REF!</definedName>
    <definedName name="S_KeyValue">#REF!</definedName>
    <definedName name="S_MAME_L">#N/A</definedName>
    <definedName name="S_PY_End" localSheetId="27">#REF!</definedName>
    <definedName name="S_PY_End">#REF!</definedName>
    <definedName name="S_PY_End_Data" localSheetId="27">#REF!</definedName>
    <definedName name="S_PY_End_Data">#REF!</definedName>
    <definedName name="S_PY_End_GT" localSheetId="27">#REF!</definedName>
    <definedName name="S_PY_End_GT">#REF!</definedName>
    <definedName name="S_RJE_Tot">#REF!</definedName>
    <definedName name="S_RJE_Tot_Data">#REF!</definedName>
    <definedName name="S_RJE_Tot_GT">#REF!</definedName>
    <definedName name="S_RowNum">#REF!</definedName>
    <definedName name="sa" localSheetId="27">{0;0;0;0;9;#N/A;0.75;0.75;1;1;1;FALSE;FALSE;FALSE;FALSE;FALSE;#N/A;1;100;#N/A;#N/A;"&amp;A";"Page &amp;P"}</definedName>
    <definedName name="sa">{0;0;0;0;9;#N/A;0.75;0.75;1;1;1;FALSE;FALSE;FALSE;FALSE;FALSE;#N/A;1;100;#N/A;#N/A;"&amp;A";"Page &amp;P"}</definedName>
    <definedName name="sad" localSheetId="27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sad" localSheetId="0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sad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sadfafasdf" localSheetId="27">#REF!</definedName>
    <definedName name="sadfafasdf">#REF!</definedName>
    <definedName name="sadfsdfsdfsaf" hidden="1">{"wpocash",#N/A,FALSE,"WPOALLT";"wpoinc",#N/A,FALSE,"WPOALLT";"wpobroad",#N/A,FALSE,"WPOALLT";"wpocable",#N/A,FALSE,"WPOALLT";"wpoexcl",#N/A,FALSE,"WPOALLT";"wponwsweek",#N/A,FALSE,"WPOALLT";"wpopost",#N/A,FALSE,"WPOALLT"}</definedName>
    <definedName name="saldo_final_capital_social_concessao">#REF!</definedName>
    <definedName name="SALDO1" localSheetId="27">#REF!</definedName>
    <definedName name="SALDO1">#REF!</definedName>
    <definedName name="SALDO2" localSheetId="27">#REF!</definedName>
    <definedName name="SALDO2">#REF!</definedName>
    <definedName name="Sales">#REF!</definedName>
    <definedName name="santos" hidden="1">{"TotalGeralDespesasPorArea",#N/A,FALSE,"VinculosAccessEfetivo"}</definedName>
    <definedName name="SAPBEXdnldView" hidden="1">"4BSKQ6152OFNU6UZRGRSINYN4"</definedName>
    <definedName name="SAPBEXrevision" localSheetId="0" hidden="1">1</definedName>
    <definedName name="SAPBEXrevision" hidden="1">1</definedName>
    <definedName name="SAPBEXsysID" localSheetId="0" hidden="1">"BP0"</definedName>
    <definedName name="SAPBEXsysID" hidden="1">"BP0"</definedName>
    <definedName name="SAPBEXwbID" localSheetId="0" hidden="1">"46N210UZD7ER8VUKGA6KWCWVB"</definedName>
    <definedName name="SAPBEXwbID" hidden="1">"46N210UZD7ER8VUKGA6KWCWVB"</definedName>
    <definedName name="sasas" localSheetId="27">#REF!</definedName>
    <definedName name="sasas">#REF!</definedName>
    <definedName name="SaveNewFile">#N/A</definedName>
    <definedName name="sbb" localSheetId="27" hidden="1">{#N/A,#N/A,FALSE,"Plan1";#N/A,#N/A,FALSE,"Plan2"}</definedName>
    <definedName name="sbb" localSheetId="0" hidden="1">{#N/A,#N/A,FALSE,"Plan1";#N/A,#N/A,FALSE,"Plan2"}</definedName>
    <definedName name="sbb" hidden="1">{#N/A,#N/A,FALSE,"Plan1";#N/A,#N/A,FALSE,"Plan2"}</definedName>
    <definedName name="scd">#N/A</definedName>
    <definedName name="SD" localSheetId="27" hidden="1">{#N/A,#N/A,FALSE,"Plan1";#N/A,#N/A,FALSE,"Plan2"}</definedName>
    <definedName name="SD" localSheetId="0" hidden="1">{#N/A,#N/A,FALSE,"Plan1";#N/A,#N/A,FALSE,"Plan2"}</definedName>
    <definedName name="SD" hidden="1">{#N/A,#N/A,FALSE,"Plan1";#N/A,#N/A,FALSE,"Plan2"}</definedName>
    <definedName name="sdafsdafsaf" hidden="1">{"wpocash",#N/A,FALSE,"WPOALLT";"wpoinc",#N/A,FALSE,"WPOALLT";"wpobroad",#N/A,FALSE,"WPOALLT";"wpocable",#N/A,FALSE,"WPOALLT";"wpoexcl",#N/A,FALSE,"WPOALLT";"wponwsweek",#N/A,FALSE,"WPOALLT";"wpopost",#N/A,FALSE,"WPOALLT"}</definedName>
    <definedName name="sdbruto" localSheetId="27">#REF!</definedName>
    <definedName name="sdbruto">#REF!</definedName>
    <definedName name="sdf" localSheetId="27" hidden="1">#REF!</definedName>
    <definedName name="sdf" localSheetId="0" hidden="1">#REF!</definedName>
    <definedName name="sdf" hidden="1">#REF!</definedName>
    <definedName name="sdfinal" localSheetId="27">#REF!</definedName>
    <definedName name="sdfinal">#REF!</definedName>
    <definedName name="sdfsdfsdfsafsdf" hidden="1">{"FCB_ALL",#N/A,FALSE,"FCB"}</definedName>
    <definedName name="sdinicial">#REF!</definedName>
    <definedName name="SDS">recuperação #REF!</definedName>
    <definedName name="sdsd">#N/A</definedName>
    <definedName name="sdsdaf" localSheetId="27">#REF!</definedName>
    <definedName name="sdsdaf">#REF!</definedName>
    <definedName name="secao" localSheetId="27">#REF!</definedName>
    <definedName name="secao">#REF!</definedName>
    <definedName name="SECUR" localSheetId="27">#REF!</definedName>
    <definedName name="SECUR">#REF!</definedName>
    <definedName name="Segmentos">#REF!</definedName>
    <definedName name="selected">#REF!,#REF!,#REF!,#REF!,#REF!,#REF!,#REF!,#REF!,#REF!,#REF!,#REF!,#REF!,#REF!,#REF!,#REF!,#REF!,#REF!,#REF!,#REF!,#REF!,#REF!,#REF!,#REF!,#REF!,#REF!,#REF!,#REF!</definedName>
    <definedName name="semestrais_longa" localSheetId="27">#REF!</definedName>
    <definedName name="semestrais_longa">#REF!</definedName>
    <definedName name="SEMESTRAL" localSheetId="27">#REF!</definedName>
    <definedName name="SEMESTRAL">#REF!</definedName>
    <definedName name="SENAI">#REF!</definedName>
    <definedName name="sencount" localSheetId="0" hidden="1">3</definedName>
    <definedName name="sencount" hidden="1">3</definedName>
    <definedName name="serv_imp_cs_asahi">#REF!</definedName>
    <definedName name="serv_imp_cs_uhde" localSheetId="27">#REF!</definedName>
    <definedName name="serv_imp_cs_uhde">#REF!</definedName>
    <definedName name="serv_imp_dce">#REF!</definedName>
    <definedName name="serv_nac_cs_asahi">#REF!</definedName>
    <definedName name="serv_nac_cs_uhde" localSheetId="27">#REF!</definedName>
    <definedName name="serv_nac_cs_uhde">#REF!</definedName>
    <definedName name="serv_nac_dce">#REF!</definedName>
    <definedName name="SERVIÇOS">recuperação #REF!</definedName>
    <definedName name="SET" localSheetId="27">#REF!</definedName>
    <definedName name="SET">#REF!</definedName>
    <definedName name="sfh_1617" localSheetId="27">#REF!</definedName>
    <definedName name="sfh_1617">#REF!</definedName>
    <definedName name="sgedhs" localSheetId="27" hidden="1">#REF!</definedName>
    <definedName name="sgedhs" localSheetId="0" hidden="1">#REF!</definedName>
    <definedName name="sgedhs" hidden="1">#REF!</definedName>
    <definedName name="shit" hidden="1">{#N/A,"Base",FALSE,"Dividend";#N/A,"Conservative",FALSE,"Dividend";#N/A,"Downside",FALSE,"Dividend"}</definedName>
    <definedName name="SIGLA_UF">#N/A</definedName>
    <definedName name="Simul_controle_tir">#REF!</definedName>
    <definedName name="simul_controle_tir_tarifa">#REF!</definedName>
    <definedName name="Simul_periodo">#REF!</definedName>
    <definedName name="Simul_tarifa">#REF!</definedName>
    <definedName name="Simul_ult_periodo">#REF!</definedName>
    <definedName name="simulação">#REF!</definedName>
    <definedName name="sin" localSheetId="27">#REF!</definedName>
    <definedName name="sin">#REF!</definedName>
    <definedName name="Sispec">#REF!</definedName>
    <definedName name="SLD.000.C.0.00.0000.00.00.11201010035">200</definedName>
    <definedName name="SLD.000.C.0.00.0000.00.00.11306010019">90.63</definedName>
    <definedName name="SLD.000.C.0.00.0000.00.00.11306010031">13002</definedName>
    <definedName name="SLD.000.C.0.00.0000.00.00.11306010034">679.5</definedName>
    <definedName name="SLD.000.C.0.00.0000.00.00.11306010036">22315.38999999</definedName>
    <definedName name="SLD.000.C.0.00.0000.00.00.117">533634.32999992</definedName>
    <definedName name="SLD.000.C.0.00.0000.00.00.121">31439885.269989</definedName>
    <definedName name="SLD.000.C.0.00.0000.00.00.12301">997253.47000027</definedName>
    <definedName name="SLD.000.C.0.00.0000.00.00.131">0</definedName>
    <definedName name="SLD.000.C.0.00.0000.00.00.211">73815519.2800293</definedName>
    <definedName name="SLD.000.C.0.00.0000.00.00.2110202">10881502.85</definedName>
    <definedName name="SLD.000.C.0.00.0000.00.00.2110203">55226637.2899999</definedName>
    <definedName name="SLD.000.C.0.00.0000.00.00.2110302">28386509.52</definedName>
    <definedName name="SLD.000.C.0.00.0000.00.00.212">88033.35000002</definedName>
    <definedName name="SLD.000.C.0.00.0000.00.00.216">634076.36999989</definedName>
    <definedName name="SLD.000.C.0.00.0000.00.00.217">17315355.6300048</definedName>
    <definedName name="SLD.000.C.0.00.0000.00.00.21704010001">16653.00999999</definedName>
    <definedName name="SLD.000.C.0.00.0000.00.00.21704010003">0</definedName>
    <definedName name="SLD.000.C.0.00.0000.00.00.219">3513721.00999832</definedName>
    <definedName name="SLD.000.C.0.00.0000.00.00.221">290102726.669921</definedName>
    <definedName name="SLD.000.C.0.00.0000.00.00.2210202">19016801.05</definedName>
    <definedName name="SLD.000.C.0.00.0000.00.00.2210203">149251446.629999</definedName>
    <definedName name="SLD.000.C.0.00.0000.00.00.2210302">105877571.47</definedName>
    <definedName name="SLD.000.C.0.00.0000.00.00.222">21139278.8200073</definedName>
    <definedName name="SLD.000.C.0.00.0000.00.00.22201010001">6164913.85</definedName>
    <definedName name="SLD.000.C.0.00.0000.00.00.241">129974445.70996</definedName>
    <definedName name="SLD.000.C.0.00.0000.00.00.24101">129974445.70996</definedName>
    <definedName name="SLD.000.C.0.00.0000.00.00.244">2180449.56999969</definedName>
    <definedName name="SLD.000.C.0.00.0000.00.00.24501">18114451.8699951</definedName>
    <definedName name="SLD.000.C.0.00.0000.00.00.31">290217002.200195</definedName>
    <definedName name="SLD.000.C.0.00.0000.00.00.311">179585641.580078</definedName>
    <definedName name="SLD.000.C.0.00.0000.00.00.312">4954140.23999786</definedName>
    <definedName name="SLD.000.C.0.00.0000.00.00.32">-21064440.0299987</definedName>
    <definedName name="SLD.000.C.0.00.0000.00.00.34">363001.90999985</definedName>
    <definedName name="SLD.000.C.0.00.0000.00.00.41">-155587260.75</definedName>
    <definedName name="SLD.000.C.0.00.0000.00.00.42">-25368197.2900085</definedName>
    <definedName name="SLD.000.C.0.00.0000.00.00.44">-5557702.52999878</definedName>
    <definedName name="SLD.000.C.0.00.0000.00.00.4410101">-12315505.6900024</definedName>
    <definedName name="SLD.000.C.0.00.0000.00.00.44101010019">-2444251.44</definedName>
    <definedName name="SLD.000.C.0.00.0000.00.00.4410102">-21328703.7200012</definedName>
    <definedName name="SLD.000.C.0.00.0000.00.00.44101020008">-44908351.0199999</definedName>
    <definedName name="SLD.000.C.0.00.0000.00.00.45">-133099.42000008</definedName>
    <definedName name="SLD.000.C.0.00.0000.00.00.47101010001">-4710636.20999908</definedName>
    <definedName name="SLD.000.C.0.00.0000.00.00.47101010002">-1201172.17000008</definedName>
    <definedName name="SLD.000.C.0.00.0000.00.00.D1010">17989327</definedName>
    <definedName name="SLD.000.C.0.00.0000.00.00.D1011">9804813.5</definedName>
    <definedName name="SLD.000.C.0.00.0000.00.00.D1012">1992874.98999977</definedName>
    <definedName name="SLD.000.C.0.00.0000.00.00.D1013">7966124.47000122</definedName>
    <definedName name="SLD.000.C.0.00.0000.00.00.D1014">98873.1400001</definedName>
    <definedName name="SLD.000.C.0.00.0000.00.00.D1015">498771725.940429</definedName>
    <definedName name="SLD.000.C.0.00.0000.00.00.D1016">3861816.84998322</definedName>
    <definedName name="SLD.000.C.0.00.0000.00.00.D1017">6518375.77999878</definedName>
    <definedName name="SLD.000.C.0.00.0000.00.00.D1018">30428702.3901367</definedName>
    <definedName name="SLD.000.C.0.00.0000.00.00.D1025">-45744891.0900268</definedName>
    <definedName name="SLD.000.C.0.00.0000.00.00.D1026">-13650979.5200805</definedName>
    <definedName name="SLD.000.C.0.00.0000.00.00.D1030">-18147550.3200073</definedName>
    <definedName name="SLD.000.C.0.00.0000.00.00.D1074">3439383.08001709</definedName>
    <definedName name="SLD.000.C.0.00.0000.00.00.D1075">-7966124.47000122</definedName>
    <definedName name="SLD.000.C.0.00.0000.00.00.D1076">20221665.6099853</definedName>
    <definedName name="SLD.000.C.0.00.0000.00.00.D1093">1009504.21000004</definedName>
    <definedName name="SLD.000.C.0.00.0000.00.00.D1094">2896500.96999741</definedName>
    <definedName name="SLD.000.C.0.00.0000.00.00.D1155">25936.66999999</definedName>
    <definedName name="SLD.000.C.0.00.0000.00.00.D997">5050971.46000671</definedName>
    <definedName name="SLD.000.C.0.00.0000.00.00.DCRECEBER">1089681.6099987</definedName>
    <definedName name="SLD.000.C.0.00.0000.00.01.11306010036">22</definedName>
    <definedName name="SLD.000.C.0.00.0000.00.01.117">1001</definedName>
    <definedName name="SLD.000.C.0.00.0000.00.01.121">30082</definedName>
    <definedName name="SLD.000.C.0.00.0000.00.01.12301">997</definedName>
    <definedName name="SLD.000.C.0.00.0000.00.01.211">73607</definedName>
    <definedName name="SLD.000.C.0.00.0000.00.01.212">220</definedName>
    <definedName name="SLD.000.C.0.00.0000.00.01.216">555</definedName>
    <definedName name="SLD.000.C.0.00.0000.00.01.217">22702</definedName>
    <definedName name="SLD.000.C.0.00.0000.00.01.219">3514</definedName>
    <definedName name="SLD.000.C.0.00.0000.00.01.221">307226</definedName>
    <definedName name="SLD.000.C.0.00.0000.00.01.222">12514</definedName>
    <definedName name="SLD.000.C.0.00.0000.00.01.241">129974</definedName>
    <definedName name="SLD.000.C.0.00.0000.00.01.244">2180</definedName>
    <definedName name="SLD.000.C.0.00.0000.00.01.24501">18114</definedName>
    <definedName name="SLD.000.C.0.00.0000.00.01.D1010">14735</definedName>
    <definedName name="SLD.000.C.0.00.0000.00.01.D1011">36890</definedName>
    <definedName name="SLD.000.C.0.00.0000.00.01.D1012">1296</definedName>
    <definedName name="SLD.000.C.0.00.0000.00.01.D1013">8253</definedName>
    <definedName name="SLD.000.C.0.00.0000.00.01.D1014">99</definedName>
    <definedName name="SLD.000.C.0.00.0000.00.01.D1015">487300</definedName>
    <definedName name="SLD.000.C.0.00.0000.00.01.D1016">6062</definedName>
    <definedName name="SLD.000.C.0.00.0000.00.01.D1017">5130</definedName>
    <definedName name="SLD.000.C.0.00.0000.00.01.D1018">30429</definedName>
    <definedName name="SLD.000.C.0.00.0000.00.01.DCRECEBER">610</definedName>
    <definedName name="SLD.000.C.0.00.1999.00.00.117">386309.42000008</definedName>
    <definedName name="SLD.000.C.0.00.1999.00.00.121">32120074.2799987</definedName>
    <definedName name="SLD.000.C.0.00.1999.00.00.131">90000</definedName>
    <definedName name="SLD.000.C.0.00.1999.00.00.211">71813107.4799804</definedName>
    <definedName name="SLD.000.C.0.00.1999.00.00.212">988466.92000008</definedName>
    <definedName name="SLD.000.C.0.00.1999.00.00.217">30737899.1099853</definedName>
    <definedName name="SLD.000.C.0.00.1999.00.00.221">321088959</definedName>
    <definedName name="SLD.000.C.0.00.1999.00.00.222">12513945.7100067</definedName>
    <definedName name="SLD.000.C.0.00.1999.00.00.241">129974445.70996</definedName>
    <definedName name="SLD.000.C.0.00.1999.00.00.244">2180449.56999969</definedName>
    <definedName name="SLD.000.C.0.00.1999.00.00.31">244637695.850097</definedName>
    <definedName name="SLD.000.C.0.00.1999.00.00.32">-7509368.30000305</definedName>
    <definedName name="SLD.000.C.0.00.1999.00.00.34">14624027.0099945</definedName>
    <definedName name="SLD.000.C.0.00.1999.00.00.41">-137984469.360107</definedName>
    <definedName name="SLD.000.C.0.00.1999.00.00.42">-18822323.7999877</definedName>
    <definedName name="SLD.000.C.0.00.1999.00.00.45">1209821.75</definedName>
    <definedName name="SLD.000.C.0.00.1999.00.00.47101010001">6781028.15000153</definedName>
    <definedName name="SLD.000.C.0.00.1999.00.00.47101010002">1847856.37999916</definedName>
    <definedName name="SLD.000.C.0.00.1999.00.00.D1010">16016305.1600036</definedName>
    <definedName name="SLD.000.C.0.00.1999.00.00.D1011">25362635.7800293</definedName>
    <definedName name="SLD.000.C.0.00.1999.00.00.D1012">4699155.20999908</definedName>
    <definedName name="SLD.000.C.0.00.1999.00.00.D1013">8628884.52999878</definedName>
    <definedName name="SLD.000.C.0.00.1999.00.00.D1015">491398211.890625</definedName>
    <definedName name="SLD.000.C.0.00.1999.00.00.D1016">10463049.2499847</definedName>
    <definedName name="SLD.000.C.0.00.1999.00.00.D1017">2173749.31999969</definedName>
    <definedName name="SLD.000.C.0.00.1999.00.00.D1018">18114451.8701171</definedName>
    <definedName name="SLD.000.C.0.00.1999.00.00.D1025">-49193159.4400024</definedName>
    <definedName name="SLD.000.C.0.00.1999.00.00.D1026">-3587777.86999512</definedName>
    <definedName name="SLD.000.C.0.00.1999.00.00.D1030">-71352966.6400146</definedName>
    <definedName name="SLD.000.C.0.00.1999.00.00.D1074">-19349636.2700195</definedName>
    <definedName name="SLD.000.C.0.00.1999.00.00.D1075">-8628884.52999878</definedName>
    <definedName name="SLD.000.C.0.00.1999.00.00.D1076">77181160.7299804</definedName>
    <definedName name="SLD.000.C.0.00.1999.00.00.D1093">1255347.8599987</definedName>
    <definedName name="SLD.000.C.0.00.1999.00.00.D1094">1125951.77000046</definedName>
    <definedName name="SLD.000.C.0.00.1999.00.00.D997">52401126.4100341</definedName>
    <definedName name="SLD.000.C.0.00.1999.00.00.DCRECEBER">291453.08000183</definedName>
    <definedName name="SLD.000.C.0.00.2000.00.00.117">533634.32999992</definedName>
    <definedName name="SLD.000.C.0.00.2000.00.00.121">31439885.269989</definedName>
    <definedName name="SLD.000.C.0.00.2000.00.00.12301">1147792.02000046</definedName>
    <definedName name="SLD.000.C.0.00.2000.00.00.131">0</definedName>
    <definedName name="SLD.000.C.0.00.2000.00.00.211">73815519.2800293</definedName>
    <definedName name="SLD.000.C.0.00.2000.00.00.212">88033.35000002</definedName>
    <definedName name="SLD.000.C.0.00.2000.00.00.217">17315355.6300048</definedName>
    <definedName name="SLD.000.C.0.00.2000.00.00.221">290102726.669921</definedName>
    <definedName name="SLD.000.C.0.00.2000.00.00.222">21139278.8200073</definedName>
    <definedName name="SLD.000.C.0.00.2000.00.00.241">129974445.70996</definedName>
    <definedName name="SLD.000.C.0.00.2000.00.00.244">2180449.56999969</definedName>
    <definedName name="SLD.000.C.0.00.2000.00.00.31">290217002.200195</definedName>
    <definedName name="SLD.000.C.0.00.2000.00.00.311">67578450.3000488</definedName>
    <definedName name="SLD.000.C.0.00.2000.00.00.312">1710563.19000053</definedName>
    <definedName name="SLD.000.C.0.00.2000.00.00.32">-21064440.0299987</definedName>
    <definedName name="SLD.000.C.0.00.2000.00.00.34">7705475.12000275</definedName>
    <definedName name="SLD.000.C.0.00.2000.00.00.41">-155587260.75</definedName>
    <definedName name="SLD.000.C.0.00.2000.00.00.42">-25368197.2900085</definedName>
    <definedName name="SLD.000.C.0.00.2000.00.00.4410101">-12689636.2599945</definedName>
    <definedName name="SLD.000.C.0.00.2000.00.00.4410102">5623644.69000244</definedName>
    <definedName name="SLD.000.C.0.00.2000.00.00.45">-133099.42000008</definedName>
    <definedName name="SLD.000.C.0.00.2000.00.00.47101010001">-4710636.20999908</definedName>
    <definedName name="SLD.000.C.0.00.2000.00.00.47101010002">-1201172.17000008</definedName>
    <definedName name="SLD.000.C.0.00.2000.00.00.D1010">17989327</definedName>
    <definedName name="SLD.000.C.0.00.2000.00.00.D1011">9804813.5</definedName>
    <definedName name="SLD.000.C.0.00.2000.00.00.D1012">1992874.98999977</definedName>
    <definedName name="SLD.000.C.0.00.2000.00.00.D1013">7966124.47000122</definedName>
    <definedName name="SLD.000.C.0.00.2000.00.00.D1015">498771725.940429</definedName>
    <definedName name="SLD.000.C.0.00.2000.00.00.D1016">3861816.84998322</definedName>
    <definedName name="SLD.000.C.0.00.2000.00.00.D1017">6518375.77999878</definedName>
    <definedName name="SLD.000.C.0.00.2000.00.00.D1018">30428702.3901367</definedName>
    <definedName name="SLD.000.C.0.00.2000.00.00.D1025">-45744891.0900268</definedName>
    <definedName name="SLD.000.C.0.00.2000.00.00.D1026">-13650979.5200805</definedName>
    <definedName name="SLD.000.C.0.00.2000.00.00.D1030">-18147550.3200073</definedName>
    <definedName name="SLD.000.C.0.00.2000.00.00.D1093">1009504.21000004</definedName>
    <definedName name="SLD.000.C.0.00.2000.00.00.D1094">2896500.96999741</definedName>
    <definedName name="SLD.000.C.0.00.2000.00.00.D1155">19932.71000001</definedName>
    <definedName name="SLD.000.C.0.00.2000.00.00.DCRECEBER">1089681.6099987</definedName>
    <definedName name="SLD.000.C.0.00.2001.00.00.11306010034">679.5</definedName>
    <definedName name="SLD.000.C.0.00.2001.00.00.2110202">10881502.85</definedName>
    <definedName name="SLD.000.C.0.00.2001.00.00.2110203">55226637.2899999</definedName>
    <definedName name="SLD.000.C.0.00.2001.00.00.2110302">28386509.52</definedName>
    <definedName name="SLD.000.C.0.00.2001.00.00.2210202">19016801.05</definedName>
    <definedName name="SLD.000.C.0.00.2001.00.00.2210203">149251446.629999</definedName>
    <definedName name="SLD.000.C.0.00.2001.00.00.2210302">105877571.47</definedName>
    <definedName name="SLD.000.C.0.00.2001.00.00.22201010001">6164913.85</definedName>
    <definedName name="SLD.000.C.0.00.2001.00.00.44101010019">-2444251.44</definedName>
    <definedName name="SLD.000.C.0.00.2001.00.00.44101020008">-44908351.0199999</definedName>
    <definedName name="SLD.000.C.0.01.0000.00.00.34">363001.90999985</definedName>
    <definedName name="SLD.000.C.0.01.0000.00.00.44">-5557702.52999878</definedName>
    <definedName name="SLD.000.C.0.01.0000.00.00.D997">5050971.46000671</definedName>
    <definedName name="SLD.000.C.0.01.0000.00.01.11201010035">0</definedName>
    <definedName name="SLD.000.C.0.01.0000.00.01.11306010019">0</definedName>
    <definedName name="SLD.000.C.0.01.0000.00.01.11306010031">24</definedName>
    <definedName name="SLD.000.C.0.01.0000.00.01.117">1717</definedName>
    <definedName name="SLD.000.C.0.01.0000.00.01.121">31692</definedName>
    <definedName name="SLD.000.C.0.01.0000.00.01.131">0</definedName>
    <definedName name="SLD.000.C.0.01.0000.00.01.211">77172</definedName>
    <definedName name="SLD.000.C.0.01.0000.00.01.212">66</definedName>
    <definedName name="SLD.000.C.0.01.0000.00.01.217">21908</definedName>
    <definedName name="SLD.000.C.0.01.0000.00.01.21704010001">13</definedName>
    <definedName name="SLD.000.C.0.01.0000.00.01.221">289496</definedName>
    <definedName name="SLD.000.C.0.01.0000.00.01.222">21139</definedName>
    <definedName name="SLD.000.C.0.01.0000.00.01.241">129974</definedName>
    <definedName name="SLD.000.C.0.01.0000.00.01.244">3416</definedName>
    <definedName name="SLD.000.C.0.01.0000.00.01.31">27924</definedName>
    <definedName name="SLD.000.C.0.01.0000.00.01.32">-2329</definedName>
    <definedName name="SLD.000.C.0.01.0000.00.01.34">363</definedName>
    <definedName name="SLD.000.C.0.01.0000.00.01.41">-13778</definedName>
    <definedName name="SLD.000.C.0.01.0000.00.01.42">-1907</definedName>
    <definedName name="SLD.000.C.0.01.0000.00.01.44">-5558</definedName>
    <definedName name="SLD.000.C.0.01.0000.00.01.45">-37</definedName>
    <definedName name="SLD.000.C.0.01.0000.00.01.47101010001">-925</definedName>
    <definedName name="SLD.000.C.0.01.0000.00.01.47101010002">-313</definedName>
    <definedName name="SLD.000.C.0.01.0000.00.01.D1010">19322</definedName>
    <definedName name="SLD.000.C.0.01.0000.00.01.D1011">17931</definedName>
    <definedName name="SLD.000.C.0.01.0000.00.01.D1012">644</definedName>
    <definedName name="SLD.000.C.0.01.0000.00.01.D1013">7881</definedName>
    <definedName name="SLD.000.C.0.01.0000.00.01.D1015">498488</definedName>
    <definedName name="SLD.000.C.0.01.0000.00.01.D1016">3312</definedName>
    <definedName name="SLD.000.C.0.01.0000.00.01.D1017">5589</definedName>
    <definedName name="SLD.000.C.0.01.0000.00.01.D1018">32633</definedName>
    <definedName name="SLD.000.C.0.01.0000.00.01.D1025">-3644</definedName>
    <definedName name="SLD.000.C.0.01.0000.00.01.D1026">-222</definedName>
    <definedName name="SLD.000.C.0.01.0000.00.01.D1030">-1691</definedName>
    <definedName name="SLD.000.C.0.01.0000.00.01.D1093">1024</definedName>
    <definedName name="SLD.000.C.0.01.0000.00.01.D1094">2511</definedName>
    <definedName name="SLD.000.C.0.01.0000.00.01.D997">5051</definedName>
    <definedName name="SLD.000.C.0.01.0000.00.01.DCRECEBER">1892</definedName>
    <definedName name="SLD.000.C.0.01.2001.00.00.44101010019">-325631.57</definedName>
    <definedName name="SLD.000.C.0.01.2001.00.00.44101020008">-1320819.3</definedName>
    <definedName name="SLD.000.C.0.01.2001.00.01.44101010019">-326</definedName>
    <definedName name="SLD.000.C.0.01.2001.00.01.44101020008">-1321</definedName>
    <definedName name="SLD.000.C.0.02.0000.00.01.11201010035">0</definedName>
    <definedName name="SLD.000.C.0.02.0000.00.01.11306010019">0</definedName>
    <definedName name="SLD.000.C.0.02.0000.00.01.11306010031">15</definedName>
    <definedName name="SLD.000.C.0.02.0000.00.01.117">1635</definedName>
    <definedName name="SLD.000.C.0.02.0000.00.01.121">12967</definedName>
    <definedName name="SLD.000.C.0.02.0000.00.01.131">0</definedName>
    <definedName name="SLD.000.C.0.02.0000.00.01.211">81910</definedName>
    <definedName name="SLD.000.C.0.02.0000.00.01.212">62</definedName>
    <definedName name="SLD.000.C.0.02.0000.00.01.217">21957</definedName>
    <definedName name="SLD.000.C.0.02.0000.00.01.21704010001">16</definedName>
    <definedName name="SLD.000.C.0.02.0000.00.01.221">293759</definedName>
    <definedName name="SLD.000.C.0.02.0000.00.01.222">21139</definedName>
    <definedName name="SLD.000.C.0.02.0000.00.01.241">129974</definedName>
    <definedName name="SLD.000.C.0.02.0000.00.01.244">3416</definedName>
    <definedName name="SLD.000.C.0.02.0000.00.01.31">51359</definedName>
    <definedName name="SLD.000.C.0.02.0000.00.01.32">-4299</definedName>
    <definedName name="SLD.000.C.0.02.0000.00.01.34">1371</definedName>
    <definedName name="SLD.000.C.0.02.0000.00.01.41">-27355</definedName>
    <definedName name="SLD.000.C.0.02.0000.00.01.42">-3792</definedName>
    <definedName name="SLD.000.C.0.02.0000.00.01.44">-17386</definedName>
    <definedName name="SLD.000.C.0.02.0000.00.01.45">-39</definedName>
    <definedName name="SLD.000.C.0.02.0000.00.01.47101010001">49</definedName>
    <definedName name="SLD.000.C.0.02.0000.00.01.47101010002">59</definedName>
    <definedName name="SLD.000.C.0.02.0000.00.01.D1010">13552</definedName>
    <definedName name="SLD.000.C.0.02.0000.00.01.D1011">44891</definedName>
    <definedName name="SLD.000.C.0.02.0000.00.01.D1012">1986</definedName>
    <definedName name="SLD.000.C.0.02.0000.00.01.D1013">8151</definedName>
    <definedName name="SLD.000.C.0.02.0000.00.01.D1015">500198</definedName>
    <definedName name="SLD.000.C.0.02.0000.00.01.D1016">2762</definedName>
    <definedName name="SLD.000.C.0.02.0000.00.01.D1017">5516</definedName>
    <definedName name="SLD.000.C.0.02.0000.00.01.D1018">29160</definedName>
    <definedName name="SLD.000.C.0.02.0000.00.01.D1025">-7241</definedName>
    <definedName name="SLD.000.C.0.02.0000.00.01.D1026">-471</definedName>
    <definedName name="SLD.000.C.0.02.0000.00.01.D1030">-9674</definedName>
    <definedName name="SLD.000.C.0.02.0000.00.01.D1093">935</definedName>
    <definedName name="SLD.000.C.0.02.0000.00.01.D1094">2407</definedName>
    <definedName name="SLD.000.C.0.02.0000.00.01.D997">10081</definedName>
    <definedName name="SLD.000.C.0.02.0000.00.01.DCRECEBER">2225</definedName>
    <definedName name="SLD.000.C.0.02.2001.00.01.44101010019">-614</definedName>
    <definedName name="SLD.000.C.0.02.2001.00.01.44101020008">-7555</definedName>
    <definedName name="SLD.000.C.0.03.0000.00.00.12301">786499.5</definedName>
    <definedName name="SLD.000.C.0.03.0000.00.00.311">74384793.3399658</definedName>
    <definedName name="SLD.000.C.0.03.0000.00.00.312">2967049.86000061</definedName>
    <definedName name="SLD.000.C.0.03.0000.00.00.4410101">-12315505.6900024</definedName>
    <definedName name="SLD.000.C.0.03.0000.00.00.4410102">-21328703.7200012</definedName>
    <definedName name="SLD.000.C.0.03.0000.00.00.D1155">25936.66999999</definedName>
    <definedName name="SLD.000.C.0.03.0000.00.01.11201010035">0</definedName>
    <definedName name="SLD.000.C.0.03.0000.00.01.11306010019">0</definedName>
    <definedName name="SLD.000.C.0.03.0000.00.01.11306010031">21</definedName>
    <definedName name="SLD.000.C.0.03.0000.00.01.11306010036">22</definedName>
    <definedName name="SLD.000.C.0.03.0000.00.01.117">1555</definedName>
    <definedName name="SLD.000.C.0.03.0000.00.01.121">11</definedName>
    <definedName name="SLD.000.C.0.03.0000.00.01.12301">786</definedName>
    <definedName name="SLD.000.C.0.03.0000.00.01.131">0</definedName>
    <definedName name="SLD.000.C.0.03.0000.00.01.211">76191</definedName>
    <definedName name="SLD.000.C.0.03.0000.00.01.212">47</definedName>
    <definedName name="SLD.000.C.0.03.0000.00.01.217">21754</definedName>
    <definedName name="SLD.000.C.0.03.0000.00.01.21704010001">22</definedName>
    <definedName name="SLD.000.C.0.03.0000.00.01.221">279615</definedName>
    <definedName name="SLD.000.C.0.03.0000.00.01.222">21139</definedName>
    <definedName name="SLD.000.C.0.03.0000.00.01.241">129974</definedName>
    <definedName name="SLD.000.C.0.03.0000.00.01.244">3416</definedName>
    <definedName name="SLD.000.C.0.03.0000.00.01.31">77352</definedName>
    <definedName name="SLD.000.C.0.03.0000.00.01.311">74385</definedName>
    <definedName name="SLD.000.C.0.03.0000.00.01.312">2967</definedName>
    <definedName name="SLD.000.C.0.03.0000.00.01.32">-6480</definedName>
    <definedName name="SLD.000.C.0.03.0000.00.01.34">1803</definedName>
    <definedName name="SLD.000.C.0.03.0000.00.01.41">-40908</definedName>
    <definedName name="SLD.000.C.0.03.0000.00.01.42">-5902</definedName>
    <definedName name="SLD.000.C.0.03.0000.00.01.4410101">-12316</definedName>
    <definedName name="SLD.000.C.0.03.0000.00.01.4410102">-21329</definedName>
    <definedName name="SLD.000.C.0.03.0000.00.01.45">-39</definedName>
    <definedName name="SLD.000.C.0.03.0000.00.01.47101010001">1735</definedName>
    <definedName name="SLD.000.C.0.03.0000.00.01.47101010002">692</definedName>
    <definedName name="SLD.000.C.0.03.0000.00.01.D1010">14342</definedName>
    <definedName name="SLD.000.C.0.03.0000.00.01.D1011">28220</definedName>
    <definedName name="SLD.000.C.0.03.0000.00.01.D1012">2128</definedName>
    <definedName name="SLD.000.C.0.03.0000.00.01.D1013">10393</definedName>
    <definedName name="SLD.000.C.0.03.0000.00.01.D1015">502084</definedName>
    <definedName name="SLD.000.C.0.03.0000.00.01.D1016">2212</definedName>
    <definedName name="SLD.000.C.0.03.0000.00.01.D1017">5996</definedName>
    <definedName name="SLD.000.C.0.03.0000.00.01.D1018">23802</definedName>
    <definedName name="SLD.000.C.0.03.0000.00.01.D1025">-10820</definedName>
    <definedName name="SLD.000.C.0.03.0000.00.01.D1026">-1557</definedName>
    <definedName name="SLD.000.C.0.03.0000.00.01.D1030">-21268</definedName>
    <definedName name="SLD.000.C.0.03.0000.00.01.D1093">812</definedName>
    <definedName name="SLD.000.C.0.03.0000.00.01.D1094">2601</definedName>
    <definedName name="SLD.000.C.0.03.0000.00.01.D1155">26</definedName>
    <definedName name="SLD.000.C.0.03.0000.00.01.D997">15100</definedName>
    <definedName name="SLD.000.C.0.03.0000.00.01.DCRECEBER">2779</definedName>
    <definedName name="SLD.000.C.0.03.2000.00.00.12301">1147792.02000046</definedName>
    <definedName name="SLD.000.C.0.03.2000.00.00.311">67578450.3000488</definedName>
    <definedName name="SLD.000.C.0.03.2000.00.00.312">1710563.19000053</definedName>
    <definedName name="SLD.000.C.0.03.2000.00.00.4410101">-12689636.2599945</definedName>
    <definedName name="SLD.000.C.0.03.2000.00.00.4410102">5623644.69000244</definedName>
    <definedName name="SLD.000.C.0.03.2000.00.00.D1155">19932.71000001</definedName>
    <definedName name="SLD.000.C.0.03.2000.00.01.117">1664</definedName>
    <definedName name="SLD.000.C.0.03.2000.00.01.121">32468</definedName>
    <definedName name="SLD.000.C.0.03.2000.00.01.12301">1148</definedName>
    <definedName name="SLD.000.C.0.03.2000.00.01.131">0</definedName>
    <definedName name="SLD.000.C.0.03.2000.00.01.211">66461</definedName>
    <definedName name="SLD.000.C.0.03.2000.00.01.212">716</definedName>
    <definedName name="SLD.000.C.0.03.2000.00.01.217">17504</definedName>
    <definedName name="SLD.000.C.0.03.2000.00.01.221">308017</definedName>
    <definedName name="SLD.000.C.0.03.2000.00.01.222">12514</definedName>
    <definedName name="SLD.000.C.0.03.2000.00.01.241">129974</definedName>
    <definedName name="SLD.000.C.0.03.2000.00.01.244">2180</definedName>
    <definedName name="SLD.000.C.0.03.2000.00.01.31">69289</definedName>
    <definedName name="SLD.000.C.0.03.2000.00.01.311">67578</definedName>
    <definedName name="SLD.000.C.0.03.2000.00.01.312">1711</definedName>
    <definedName name="SLD.000.C.0.03.2000.00.01.32">-5908</definedName>
    <definedName name="SLD.000.C.0.03.2000.00.01.34">702</definedName>
    <definedName name="SLD.000.C.0.03.2000.00.01.41">-38038</definedName>
    <definedName name="SLD.000.C.0.03.2000.00.01.42">-6870</definedName>
    <definedName name="SLD.000.C.0.03.2000.00.01.4410101">-12690</definedName>
    <definedName name="SLD.000.C.0.03.2000.00.01.4410102">5624</definedName>
    <definedName name="SLD.000.C.0.03.2000.00.01.45">16</definedName>
    <definedName name="SLD.000.C.0.03.2000.00.01.47101010001">-3042</definedName>
    <definedName name="SLD.000.C.0.03.2000.00.01.47101010002">-741</definedName>
    <definedName name="SLD.000.C.0.03.2000.00.01.D1010">10225</definedName>
    <definedName name="SLD.000.C.0.03.2000.00.01.D1011">20778</definedName>
    <definedName name="SLD.000.C.0.03.2000.00.01.D1012">1700</definedName>
    <definedName name="SLD.000.C.0.03.2000.00.01.D1013">7763</definedName>
    <definedName name="SLD.000.C.0.03.2000.00.01.D1015">484462</definedName>
    <definedName name="SLD.000.C.0.03.2000.00.01.D1016">8813</definedName>
    <definedName name="SLD.000.C.0.03.2000.00.01.D1017">4556</definedName>
    <definedName name="SLD.000.C.0.03.2000.00.01.D1018">26457</definedName>
    <definedName name="SLD.000.C.0.03.2000.00.01.D1025">-11823</definedName>
    <definedName name="SLD.000.C.0.03.2000.00.01.D1026">-859</definedName>
    <definedName name="SLD.000.C.0.03.2000.00.01.D1030">5615</definedName>
    <definedName name="SLD.000.C.0.03.2000.00.01.D1093">1168</definedName>
    <definedName name="SLD.000.C.0.03.2000.00.01.D1094">1020</definedName>
    <definedName name="SLD.000.C.0.03.2000.00.01.D1155">20</definedName>
    <definedName name="SLD.000.C.0.03.2000.00.01.DCRECEBER">361</definedName>
    <definedName name="SLD.000.C.0.03.2001.00.01.44101010019">-928</definedName>
    <definedName name="SLD.000.C.0.03.2001.00.01.44101020008">-16402</definedName>
    <definedName name="SLD.000.C.0.04.0000.00.00.42">-8761611.38000488</definedName>
    <definedName name="SLD.000.C.0.04.0000.00.01.11201010035">0</definedName>
    <definedName name="SLD.000.C.0.04.0000.00.01.11306010019">0</definedName>
    <definedName name="SLD.000.C.0.04.0000.00.01.11306010031">49</definedName>
    <definedName name="SLD.000.C.0.04.0000.00.01.11306010036">0</definedName>
    <definedName name="SLD.000.C.0.04.0000.00.01.117">1408</definedName>
    <definedName name="SLD.000.C.0.04.0000.00.01.121">2</definedName>
    <definedName name="SLD.000.C.0.04.0000.00.01.12301">756</definedName>
    <definedName name="SLD.000.C.0.04.0000.00.01.131">0</definedName>
    <definedName name="SLD.000.C.0.04.0000.00.01.211">79269</definedName>
    <definedName name="SLD.000.C.0.04.0000.00.01.212">48</definedName>
    <definedName name="SLD.000.C.0.04.0000.00.01.217">20782</definedName>
    <definedName name="SLD.000.C.0.04.0000.00.01.21704010001">0</definedName>
    <definedName name="SLD.000.C.0.04.0000.00.01.221">279351</definedName>
    <definedName name="SLD.000.C.0.04.0000.00.01.222">21139</definedName>
    <definedName name="SLD.000.C.0.04.0000.00.01.241">137385</definedName>
    <definedName name="SLD.000.C.0.04.0000.00.01.244">3416</definedName>
    <definedName name="SLD.000.C.0.04.0000.00.01.311">98481</definedName>
    <definedName name="SLD.000.C.0.04.0000.00.01.312">3398</definedName>
    <definedName name="SLD.000.C.0.04.0000.00.01.32">-8560</definedName>
    <definedName name="SLD.000.C.0.04.0000.00.01.34">1877</definedName>
    <definedName name="SLD.000.C.0.04.0000.00.01.41">-54386</definedName>
    <definedName name="SLD.000.C.0.04.0000.00.01.42">-8762</definedName>
    <definedName name="SLD.000.C.0.04.0000.00.01.4410101">-15650</definedName>
    <definedName name="SLD.000.C.0.04.0000.00.01.4410102">-23583</definedName>
    <definedName name="SLD.000.C.0.04.0000.00.01.45">-39</definedName>
    <definedName name="SLD.000.C.0.04.0000.00.01.47101010001">1632</definedName>
    <definedName name="SLD.000.C.0.04.0000.00.01.47101010002">613</definedName>
    <definedName name="SLD.000.C.0.04.0000.00.01.D1010">12975</definedName>
    <definedName name="SLD.000.C.0.04.0000.00.01.D1011">31572</definedName>
    <definedName name="SLD.000.C.0.04.0000.00.01.D1012">2144</definedName>
    <definedName name="SLD.000.C.0.04.0000.00.01.D1013">10210</definedName>
    <definedName name="SLD.000.C.0.04.0000.00.01.D1015">503130</definedName>
    <definedName name="SLD.000.C.0.04.0000.00.01.D1016">1661</definedName>
    <definedName name="SLD.000.C.0.04.0000.00.01.D1017">6650</definedName>
    <definedName name="SLD.000.C.0.04.0000.00.01.D1018">16804</definedName>
    <definedName name="SLD.000.C.0.04.0000.00.01.D1094">1787</definedName>
    <definedName name="SLD.000.C.0.04.0000.00.01.D1155">26</definedName>
    <definedName name="SLD.000.C.0.04.0000.00.01.DCRECEBER">2746</definedName>
    <definedName name="SLD.000.C.0.05.0000.00.01.11201010035">0</definedName>
    <definedName name="SLD.000.C.0.05.0000.00.01.11306010019">0</definedName>
    <definedName name="SLD.000.C.0.05.0000.00.01.11306010031">12</definedName>
    <definedName name="SLD.000.C.0.05.0000.00.01.11306010036">0</definedName>
    <definedName name="SLD.000.C.0.05.0000.00.01.117">1336</definedName>
    <definedName name="SLD.000.C.0.05.0000.00.01.121">2</definedName>
    <definedName name="SLD.000.C.0.05.0000.00.01.12301">726</definedName>
    <definedName name="SLD.000.C.0.05.0000.00.01.131">0</definedName>
    <definedName name="SLD.000.C.0.05.0000.00.01.211">85487</definedName>
    <definedName name="SLD.000.C.0.05.0000.00.01.212">36</definedName>
    <definedName name="SLD.000.C.0.05.0000.00.01.217">21843</definedName>
    <definedName name="SLD.000.C.0.05.0000.00.01.221">286500</definedName>
    <definedName name="SLD.000.C.0.05.0000.00.01.222">21139</definedName>
    <definedName name="SLD.000.C.0.05.0000.00.01.241">137385</definedName>
    <definedName name="SLD.000.C.0.05.0000.00.01.244">3416</definedName>
    <definedName name="SLD.000.C.0.05.0000.00.01.311">123327</definedName>
    <definedName name="SLD.000.C.0.05.0000.00.01.312">3807</definedName>
    <definedName name="SLD.000.C.0.05.0000.00.01.32">-10702</definedName>
    <definedName name="SLD.000.C.0.05.0000.00.01.34">1981</definedName>
    <definedName name="SLD.000.C.0.05.0000.00.01.41">-67934</definedName>
    <definedName name="SLD.000.C.0.05.0000.00.01.42">-10975</definedName>
    <definedName name="SLD.000.C.0.05.0000.00.01.4410101">-19903</definedName>
    <definedName name="SLD.000.C.0.05.0000.00.01.4410102">-40685</definedName>
    <definedName name="SLD.000.C.0.05.0000.00.01.45">-42</definedName>
    <definedName name="SLD.000.C.0.05.0000.00.01.47101010001">5007</definedName>
    <definedName name="SLD.000.C.0.05.0000.00.01.47101010002">1864</definedName>
    <definedName name="SLD.000.C.0.05.0000.00.01.D1010">8692</definedName>
    <definedName name="SLD.000.C.0.05.0000.00.01.D1011">34264</definedName>
    <definedName name="SLD.000.C.0.05.0000.00.01.D1012">2164</definedName>
    <definedName name="SLD.000.C.0.05.0000.00.01.D1013">14838</definedName>
    <definedName name="SLD.000.C.0.05.0000.00.01.D1015">505997</definedName>
    <definedName name="SLD.000.C.0.05.0000.00.01.D1016">1111</definedName>
    <definedName name="SLD.000.C.0.05.0000.00.01.D1017">6505</definedName>
    <definedName name="SLD.000.C.0.05.0000.00.01.D1018">7528</definedName>
    <definedName name="SLD.000.C.0.05.0000.00.01.D1094">2028</definedName>
    <definedName name="SLD.000.C.0.05.0000.00.01.D1155">53</definedName>
    <definedName name="SLD.000.C.0.05.0000.00.01.DCRECEBER">2685</definedName>
    <definedName name="SLD.000.C.0.06.0000.00.01.11201010035">0</definedName>
    <definedName name="SLD.000.C.0.06.0000.00.01.11306010019">0</definedName>
    <definedName name="SLD.000.C.0.06.0000.00.01.11306010031">16</definedName>
    <definedName name="SLD.000.C.0.06.0000.00.01.11306010036">0</definedName>
    <definedName name="SLD.000.C.0.06.0000.00.01.117">1241</definedName>
    <definedName name="SLD.000.C.0.06.0000.00.01.121">1</definedName>
    <definedName name="SLD.000.C.0.06.0000.00.01.12301">696</definedName>
    <definedName name="SLD.000.C.0.06.0000.00.01.131">0</definedName>
    <definedName name="SLD.000.C.0.06.0000.00.01.211">85525</definedName>
    <definedName name="SLD.000.C.0.06.0000.00.01.212">35</definedName>
    <definedName name="SLD.000.C.0.06.0000.00.01.216">547</definedName>
    <definedName name="SLD.000.C.0.06.0000.00.01.217">23545</definedName>
    <definedName name="SLD.000.C.0.06.0000.00.01.21704010001">2</definedName>
    <definedName name="SLD.000.C.0.06.0000.00.01.219">1074</definedName>
    <definedName name="SLD.000.C.0.06.0000.00.01.221">280521</definedName>
    <definedName name="SLD.000.C.0.06.0000.00.01.222">21139</definedName>
    <definedName name="SLD.000.C.0.06.0000.00.01.241">137385</definedName>
    <definedName name="SLD.000.C.0.06.0000.00.01.244">3416</definedName>
    <definedName name="SLD.000.C.0.06.0000.00.01.311">146832</definedName>
    <definedName name="SLD.000.C.0.06.0000.00.01.312">4286</definedName>
    <definedName name="SLD.000.C.0.06.0000.00.01.32">-12733</definedName>
    <definedName name="SLD.000.C.0.06.0000.00.01.34">2062</definedName>
    <definedName name="SLD.000.C.0.06.0000.00.01.41">-81374</definedName>
    <definedName name="SLD.000.C.0.06.0000.00.01.42">-15127</definedName>
    <definedName name="SLD.000.C.0.06.0000.00.01.4410101">-23147</definedName>
    <definedName name="SLD.000.C.0.06.0000.00.01.4410102">-35398</definedName>
    <definedName name="SLD.000.C.0.06.0000.00.01.45">-40</definedName>
    <definedName name="SLD.000.C.0.06.0000.00.01.47101010001">3369</definedName>
    <definedName name="SLD.000.C.0.06.0000.00.01.47101010002">1275</definedName>
    <definedName name="SLD.000.C.0.06.0000.00.01.D1010">15222</definedName>
    <definedName name="SLD.000.C.0.06.0000.00.01.D1011">26430</definedName>
    <definedName name="SLD.000.C.0.06.0000.00.01.D1012">2184</definedName>
    <definedName name="SLD.000.C.0.06.0000.00.01.D1013">12610</definedName>
    <definedName name="SLD.000.C.0.06.0000.00.01.D1014">71</definedName>
    <definedName name="SLD.000.C.0.06.0000.00.01.D1015">510574</definedName>
    <definedName name="SLD.000.C.0.06.0000.00.01.D1016">561</definedName>
    <definedName name="SLD.000.C.0.06.0000.00.01.D1017">6692</definedName>
    <definedName name="SLD.000.C.0.06.0000.00.01.D1018">11786</definedName>
    <definedName name="SLD.000.C.0.06.0000.00.01.D1094">2221</definedName>
    <definedName name="SLD.000.C.0.06.0000.00.01.D1155">34</definedName>
    <definedName name="SLD.000.C.0.06.0000.00.01.DCRECEBER">2712</definedName>
    <definedName name="SLD.000.C.0.07.0000.00.00.311">154554758.300048</definedName>
    <definedName name="SLD.000.C.0.07.0000.00.00.312">4413838.41000366</definedName>
    <definedName name="SLD.000.C.0.07.0000.00.00.32">-11563047.550003</definedName>
    <definedName name="SLD.000.C.0.07.0000.00.00.34">3022147.54000092</definedName>
    <definedName name="SLD.000.C.0.07.0000.00.00.41">-89645674.040039</definedName>
    <definedName name="SLD.000.C.0.07.0000.00.00.42">-17457559.8999939</definedName>
    <definedName name="SLD.000.C.0.07.0000.00.00.44">-26895992.9599914</definedName>
    <definedName name="SLD.000.C.0.07.0000.00.00.45">-113299.85000002</definedName>
    <definedName name="SLD.000.C.0.07.0000.00.00.47101010001">-4095197.79000092</definedName>
    <definedName name="SLD.000.C.0.07.0000.00.00.47101010002">-1207791.98999977</definedName>
    <definedName name="SLD.000.C.0.07.0000.00.01.11201010035">0</definedName>
    <definedName name="SLD.000.C.0.07.0000.00.01.11306010019">0</definedName>
    <definedName name="SLD.000.C.0.07.0000.00.01.11306010031">12</definedName>
    <definedName name="SLD.000.C.0.07.0000.00.01.11306010036">0</definedName>
    <definedName name="SLD.000.C.0.07.0000.00.01.117">1087</definedName>
    <definedName name="SLD.000.C.0.07.0000.00.01.121">1</definedName>
    <definedName name="SLD.000.C.0.07.0000.00.01.12301">666</definedName>
    <definedName name="SLD.000.C.0.07.0000.00.01.131">0</definedName>
    <definedName name="SLD.000.C.0.07.0000.00.01.211">91549</definedName>
    <definedName name="SLD.000.C.0.07.0000.00.01.212">37</definedName>
    <definedName name="SLD.000.C.0.07.0000.00.01.216">548</definedName>
    <definedName name="SLD.000.C.0.07.0000.00.01.217">23062</definedName>
    <definedName name="SLD.000.C.0.07.0000.00.01.21704010001">0</definedName>
    <definedName name="SLD.000.C.0.07.0000.00.01.219">3346</definedName>
    <definedName name="SLD.000.C.0.07.0000.00.01.221">287690</definedName>
    <definedName name="SLD.000.C.0.07.0000.00.01.222">21139</definedName>
    <definedName name="SLD.000.C.0.07.0000.00.01.241">137385</definedName>
    <definedName name="SLD.000.C.0.07.0000.00.01.244">3416</definedName>
    <definedName name="SLD.000.C.0.07.0000.00.01.311">172282</definedName>
    <definedName name="SLD.000.C.0.07.0000.00.01.312">4712</definedName>
    <definedName name="SLD.000.C.0.07.0000.00.01.32">-14928</definedName>
    <definedName name="SLD.000.C.0.07.0000.00.01.34">2212</definedName>
    <definedName name="SLD.000.C.0.07.0000.00.01.41">-94807</definedName>
    <definedName name="SLD.000.C.0.07.0000.00.01.42">-19505</definedName>
    <definedName name="SLD.000.C.0.07.0000.00.01.4410101">-26998</definedName>
    <definedName name="SLD.000.C.0.07.0000.00.01.4410102">-47525</definedName>
    <definedName name="SLD.000.C.0.07.0000.00.01.45">-47</definedName>
    <definedName name="SLD.000.C.0.07.0000.00.01.47101010001">5852</definedName>
    <definedName name="SLD.000.C.0.07.0000.00.01.47101010002">2170</definedName>
    <definedName name="SLD.000.C.0.07.0000.00.01.D1010">12898</definedName>
    <definedName name="SLD.000.C.0.07.0000.00.01.D1011">30524</definedName>
    <definedName name="SLD.000.C.0.07.0000.00.01.D1012">2210</definedName>
    <definedName name="SLD.000.C.0.07.0000.00.01.D1013">15989</definedName>
    <definedName name="SLD.000.C.0.07.0000.00.01.D1014">51</definedName>
    <definedName name="SLD.000.C.0.07.0000.00.01.D1015">512573</definedName>
    <definedName name="SLD.000.C.0.07.0000.00.01.D1016">11</definedName>
    <definedName name="SLD.000.C.0.07.0000.00.01.D1017">7157</definedName>
    <definedName name="SLD.000.C.0.07.0000.00.01.D1018">5201</definedName>
    <definedName name="SLD.000.C.0.07.0000.00.01.D1094">2174</definedName>
    <definedName name="SLD.000.C.0.07.0000.00.01.D1155">30</definedName>
    <definedName name="SLD.000.C.0.07.0000.00.01.DCRECEBER">2822</definedName>
    <definedName name="SLD.000.C.0.07.2000.00.00.311">154554758.300048</definedName>
    <definedName name="SLD.000.C.0.07.2000.00.00.312">4413838.41000366</definedName>
    <definedName name="SLD.000.C.0.07.2000.00.00.32">-11563047.550003</definedName>
    <definedName name="SLD.000.C.0.07.2000.00.00.34">3022147.54000092</definedName>
    <definedName name="SLD.000.C.0.07.2000.00.00.41">-89645674.040039</definedName>
    <definedName name="SLD.000.C.0.07.2000.00.00.42">-17457559.8999939</definedName>
    <definedName name="SLD.000.C.0.07.2000.00.00.44">-26895992.9599914</definedName>
    <definedName name="SLD.000.C.0.07.2000.00.00.45">-113299.85000002</definedName>
    <definedName name="SLD.000.C.0.07.2000.00.00.47101010001">-4095197.79000092</definedName>
    <definedName name="SLD.000.C.0.07.2000.00.00.47101010002">-1207791.98999977</definedName>
    <definedName name="SLD.000.C.0.07.2000.00.01.311">154555</definedName>
    <definedName name="SLD.000.C.0.07.2000.00.01.312">4414</definedName>
    <definedName name="SLD.000.C.0.07.2000.00.01.32">-11563</definedName>
    <definedName name="SLD.000.C.0.07.2000.00.01.34">3022</definedName>
    <definedName name="SLD.000.C.0.07.2000.00.01.41">-89646</definedName>
    <definedName name="SLD.000.C.0.07.2000.00.01.42">-17458</definedName>
    <definedName name="SLD.000.C.0.07.2000.00.01.44">-26896</definedName>
    <definedName name="SLD.000.C.0.07.2000.00.01.45">-113</definedName>
    <definedName name="SLD.000.C.0.07.2000.00.01.47101010001">-4095</definedName>
    <definedName name="SLD.000.C.0.07.2000.00.01.47101010002">-1208</definedName>
    <definedName name="SLD.000.C.0.07.2001.00.01.11201010035">0</definedName>
    <definedName name="SLD.000.C.0.07.2001.00.01.11306010019">0</definedName>
    <definedName name="SLD.000.C.0.07.2001.00.01.11306010031">12</definedName>
    <definedName name="SLD.000.C.0.07.2001.00.01.11306010036">0</definedName>
    <definedName name="SLD.000.C.0.07.2001.00.01.121">1</definedName>
    <definedName name="SLD.000.C.0.07.2001.00.01.12301">666</definedName>
    <definedName name="SLD.000.C.0.07.2001.00.01.131">0</definedName>
    <definedName name="SLD.000.C.0.07.2001.00.01.211">91549</definedName>
    <definedName name="SLD.000.C.0.07.2001.00.01.212">37</definedName>
    <definedName name="SLD.000.C.0.07.2001.00.01.217">23062</definedName>
    <definedName name="SLD.000.C.0.07.2001.00.01.221">287690</definedName>
    <definedName name="SLD.000.C.0.07.2001.00.01.222">21139</definedName>
    <definedName name="SLD.000.C.0.07.2001.00.01.241">137385</definedName>
    <definedName name="SLD.000.C.0.07.2001.00.01.244">3416</definedName>
    <definedName name="SLD.000.C.0.07.2001.00.01.311">172282</definedName>
    <definedName name="SLD.000.C.0.07.2001.00.01.312">4712</definedName>
    <definedName name="SLD.000.C.0.07.2001.00.01.32">-14928</definedName>
    <definedName name="SLD.000.C.0.07.2001.00.01.34">2212</definedName>
    <definedName name="SLD.000.C.0.07.2001.00.01.41">-94807</definedName>
    <definedName name="SLD.000.C.0.07.2001.00.01.42">-19505</definedName>
    <definedName name="SLD.000.C.0.07.2001.00.01.4410101">-26998</definedName>
    <definedName name="SLD.000.C.0.07.2001.00.01.4410102">-47525</definedName>
    <definedName name="SLD.000.C.0.07.2001.00.01.45">-47</definedName>
    <definedName name="SLD.000.C.0.07.2001.00.01.47101010001">5852</definedName>
    <definedName name="SLD.000.C.0.07.2001.00.01.47101010002">2170</definedName>
    <definedName name="SLD.000.C.0.07.2001.00.01.D1013">15989</definedName>
    <definedName name="SLD.000.C.0.07.2001.00.01.D1015">512573</definedName>
    <definedName name="SLD.000.C.0.07.2001.00.01.D1016">11</definedName>
    <definedName name="SLD.000.C.0.07.2001.00.01.D1017">7157</definedName>
    <definedName name="SLD.000.C.0.07.2001.00.01.D1018">5201</definedName>
    <definedName name="SLD.000.C.0.07.2001.00.01.D1094">2174</definedName>
    <definedName name="SLD.000.C.0.07.2001.00.01.D1155">30</definedName>
    <definedName name="SLD.000.C.0.08.0000.00.00.11201010035">200</definedName>
    <definedName name="SLD.000.C.0.08.0000.00.00.11306010019">90.63</definedName>
    <definedName name="SLD.000.C.0.08.0000.00.00.11306010031">13002</definedName>
    <definedName name="SLD.000.C.0.08.0000.00.00.21704010001">16653.00999999</definedName>
    <definedName name="SLD.000.C.0.08.0000.00.01.117">1014</definedName>
    <definedName name="SLD.000.C.0.08.0000.00.01.121">30082</definedName>
    <definedName name="SLD.000.C.0.08.0000.00.01.12301">997</definedName>
    <definedName name="SLD.000.C.0.08.0000.00.01.211">73607</definedName>
    <definedName name="SLD.000.C.0.08.0000.00.01.212">220</definedName>
    <definedName name="SLD.000.C.0.08.0000.00.01.216">555</definedName>
    <definedName name="SLD.000.C.0.08.0000.00.01.217">22702</definedName>
    <definedName name="SLD.000.C.0.08.0000.00.01.219">3514</definedName>
    <definedName name="SLD.000.C.0.08.0000.00.01.221">307226</definedName>
    <definedName name="SLD.000.C.0.08.0000.00.01.222">12514</definedName>
    <definedName name="SLD.000.C.0.08.0000.00.01.241">129974</definedName>
    <definedName name="SLD.000.C.0.08.0000.00.01.244">2180</definedName>
    <definedName name="SLD.000.C.0.08.0000.00.01.D1010">21116</definedName>
    <definedName name="SLD.000.C.0.08.0000.00.01.D1011">25629</definedName>
    <definedName name="SLD.000.C.0.08.0000.00.01.D1012">2240</definedName>
    <definedName name="SLD.000.C.0.08.0000.00.01.D1013">8253</definedName>
    <definedName name="SLD.000.C.0.08.0000.00.01.D1014">99</definedName>
    <definedName name="SLD.000.C.0.08.0000.00.01.D1015">487300</definedName>
    <definedName name="SLD.000.C.0.08.0000.00.01.D1016">6062</definedName>
    <definedName name="SLD.000.C.0.08.0000.00.01.D1017">5130</definedName>
    <definedName name="SLD.000.C.0.08.0000.00.01.D1018">29703</definedName>
    <definedName name="SLD.000.C.0.08.0000.00.01.DCRECEBER">2722</definedName>
    <definedName name="SLD.000.C.0.08.2000.00.01.311">179586</definedName>
    <definedName name="SLD.000.C.0.08.2000.00.01.312">4954</definedName>
    <definedName name="SLD.000.C.0.08.2000.00.01.32">-13428</definedName>
    <definedName name="SLD.000.C.0.08.2000.00.01.34">4527</definedName>
    <definedName name="SLD.000.C.0.08.2000.00.01.41">-102632</definedName>
    <definedName name="SLD.000.C.0.08.2000.00.01.42">-18791</definedName>
    <definedName name="SLD.000.C.0.08.2000.00.01.44">-36837</definedName>
    <definedName name="SLD.000.C.0.08.2000.00.01.45">-114</definedName>
    <definedName name="SLD.000.C.0.08.2000.00.01.47101010001">-4419</definedName>
    <definedName name="SLD.000.C.0.08.2000.00.01.47101010002">-1257</definedName>
    <definedName name="SLD.000.C.0.08.2001.00.00.11306010034">679.5</definedName>
    <definedName name="SLD.000.C.0.08.2001.00.01.11201010035">0</definedName>
    <definedName name="SLD.000.C.0.08.2001.00.01.11306010019">1</definedName>
    <definedName name="SLD.000.C.0.08.2001.00.01.11306010031">0</definedName>
    <definedName name="SLD.000.C.0.08.2001.00.01.11306010034">1</definedName>
    <definedName name="SLD.000.C.0.08.2001.00.01.11306010036">43</definedName>
    <definedName name="SLD.000.C.0.08.2001.00.01.117">1014</definedName>
    <definedName name="SLD.000.C.0.08.2001.00.01.121">1</definedName>
    <definedName name="SLD.000.C.0.08.2001.00.01.12301">636</definedName>
    <definedName name="SLD.000.C.0.08.2001.00.01.131">0</definedName>
    <definedName name="SLD.000.C.0.08.2001.00.01.211">97618</definedName>
    <definedName name="SLD.000.C.0.08.2001.00.01.212">39</definedName>
    <definedName name="SLD.000.C.0.08.2001.00.01.217">21351</definedName>
    <definedName name="SLD.000.C.0.08.2001.00.01.221">294414</definedName>
    <definedName name="SLD.000.C.0.08.2001.00.01.222">21139</definedName>
    <definedName name="SLD.000.C.0.08.2001.00.01.241">137385</definedName>
    <definedName name="SLD.000.C.0.08.2001.00.01.244">3416</definedName>
    <definedName name="SLD.000.C.0.08.2001.00.01.311">199290</definedName>
    <definedName name="SLD.000.C.0.08.2001.00.01.312">5200</definedName>
    <definedName name="SLD.000.C.0.08.2001.00.01.32">-17264</definedName>
    <definedName name="SLD.000.C.0.08.2001.00.01.34">2360</definedName>
    <definedName name="SLD.000.C.0.08.2001.00.01.41">-109219</definedName>
    <definedName name="SLD.000.C.0.08.2001.00.01.42">-22060</definedName>
    <definedName name="SLD.000.C.0.08.2001.00.01.4410101">-31079</definedName>
    <definedName name="SLD.000.C.0.08.2001.00.01.4410102">-59077</definedName>
    <definedName name="SLD.000.C.0.08.2001.00.01.45">-45</definedName>
    <definedName name="SLD.000.C.0.08.2001.00.01.47101010001">7590</definedName>
    <definedName name="SLD.000.C.0.08.2001.00.01.47101010002">2796</definedName>
    <definedName name="SLD.000.C.0.08.2001.00.01.D1010">21116</definedName>
    <definedName name="SLD.000.C.0.08.2001.00.01.D1011">25629</definedName>
    <definedName name="SLD.000.C.0.08.2001.00.01.D1012">2240</definedName>
    <definedName name="SLD.000.C.0.08.2001.00.01.D1013">18353</definedName>
    <definedName name="SLD.000.C.0.08.2001.00.01.D1015">513622</definedName>
    <definedName name="SLD.000.C.0.08.2001.00.01.D1016">-1</definedName>
    <definedName name="SLD.000.C.0.08.2001.00.01.D1017">7552</definedName>
    <definedName name="SLD.000.C.0.08.2001.00.01.D1018">275</definedName>
    <definedName name="SLD.000.C.0.08.2001.00.01.D1094">2297</definedName>
    <definedName name="SLD.000.C.0.08.2001.00.01.D1155">154</definedName>
    <definedName name="SLD.000.C.0.08.2001.00.01.DCRECEBER">2722</definedName>
    <definedName name="SLD.000.C.0.09.0000.00.00.11201010035">200</definedName>
    <definedName name="SLD.000.C.0.09.0000.00.00.11306010019">321.67</definedName>
    <definedName name="SLD.000.C.0.09.0000.00.00.11306010031">13000</definedName>
    <definedName name="SLD.000.C.0.09.0000.00.00.21704010001">25308.86000001</definedName>
    <definedName name="SLD.000.C.0.09.0000.00.01.117">851</definedName>
    <definedName name="SLD.000.C.0.09.0000.00.01.121">29836</definedName>
    <definedName name="SLD.000.C.0.09.0000.00.01.12301">967</definedName>
    <definedName name="SLD.000.C.0.09.0000.00.01.211">64411</definedName>
    <definedName name="SLD.000.C.0.09.0000.00.01.212">221</definedName>
    <definedName name="SLD.000.C.0.09.0000.00.01.216">587</definedName>
    <definedName name="SLD.000.C.0.09.0000.00.01.217">25855</definedName>
    <definedName name="SLD.000.C.0.09.0000.00.01.219">3756</definedName>
    <definedName name="SLD.000.C.0.09.0000.00.01.221">289288</definedName>
    <definedName name="SLD.000.C.0.09.0000.00.01.222">12514</definedName>
    <definedName name="SLD.000.C.0.09.0000.00.01.241">129974</definedName>
    <definedName name="SLD.000.C.0.09.0000.00.01.244">2180</definedName>
    <definedName name="SLD.000.C.0.09.0000.00.01.D1010">11912</definedName>
    <definedName name="SLD.000.C.0.09.0000.00.01.D1011">15980</definedName>
    <definedName name="SLD.000.C.0.09.0000.00.01.D1012">283</definedName>
    <definedName name="SLD.000.C.0.09.0000.00.01.D1013">7967</definedName>
    <definedName name="SLD.000.C.0.09.0000.00.01.D1014">161</definedName>
    <definedName name="SLD.000.C.0.09.0000.00.01.D1015">490510</definedName>
    <definedName name="SLD.000.C.0.09.0000.00.01.D1016">5512</definedName>
    <definedName name="SLD.000.C.0.09.0000.00.01.D1017">3942</definedName>
    <definedName name="SLD.000.C.0.09.0000.00.01.D1018">32145</definedName>
    <definedName name="SLD.000.C.0.09.0000.00.01.DCRECEBER">895</definedName>
    <definedName name="SLD.000.C.0.09.2000.00.01.311">204201</definedName>
    <definedName name="SLD.000.C.0.09.2000.00.01.312">6945</definedName>
    <definedName name="SLD.000.C.0.09.2000.00.01.32">-15314</definedName>
    <definedName name="SLD.000.C.0.09.2000.00.01.34">5297</definedName>
    <definedName name="SLD.000.C.0.09.2000.00.01.41">-115820</definedName>
    <definedName name="SLD.000.C.0.09.2000.00.01.42">-21060</definedName>
    <definedName name="SLD.000.C.0.09.2000.00.01.44">-43166</definedName>
    <definedName name="SLD.000.C.0.09.2000.00.01.45">-124</definedName>
    <definedName name="SLD.000.C.0.09.2000.00.01.47101010001">-5349</definedName>
    <definedName name="SLD.000.C.0.09.2000.00.01.47101010002">-1581</definedName>
    <definedName name="SLD.000.C.0.09.2001.00.01.11201010035">0</definedName>
    <definedName name="SLD.000.C.0.09.2001.00.01.11306010019">1</definedName>
    <definedName name="SLD.000.C.0.09.2001.00.01.11306010031">0</definedName>
    <definedName name="SLD.000.C.0.09.2001.00.01.11306010034">0</definedName>
    <definedName name="SLD.000.C.0.09.2001.00.01.11306010036">43</definedName>
    <definedName name="SLD.000.C.0.09.2001.00.01.117">912</definedName>
    <definedName name="SLD.000.C.0.09.2001.00.01.121">1</definedName>
    <definedName name="SLD.000.C.0.09.2001.00.01.12301">606</definedName>
    <definedName name="SLD.000.C.0.09.2001.00.01.131">0</definedName>
    <definedName name="SLD.000.C.0.09.2001.00.01.211">92146</definedName>
    <definedName name="SLD.000.C.0.09.2001.00.01.212">41</definedName>
    <definedName name="SLD.000.C.0.09.2001.00.01.217">22556</definedName>
    <definedName name="SLD.000.C.0.09.2001.00.01.221">273889</definedName>
    <definedName name="SLD.000.C.0.09.2001.00.01.222">21139</definedName>
    <definedName name="SLD.000.C.0.09.2001.00.01.241">137385</definedName>
    <definedName name="SLD.000.C.0.09.2001.00.01.244">3416</definedName>
    <definedName name="SLD.000.C.0.09.2001.00.01.311">226450</definedName>
    <definedName name="SLD.000.C.0.09.2001.00.01.312">7103</definedName>
    <definedName name="SLD.000.C.0.09.2001.00.01.32">-19667</definedName>
    <definedName name="SLD.000.C.0.09.2001.00.01.34">2426</definedName>
    <definedName name="SLD.000.C.0.09.2001.00.01.41">-120059</definedName>
    <definedName name="SLD.000.C.0.09.2001.00.01.42">-24899</definedName>
    <definedName name="SLD.000.C.0.09.2001.00.01.4410101">-35193</definedName>
    <definedName name="SLD.000.C.0.09.2001.00.01.4410102">-70926</definedName>
    <definedName name="SLD.000.C.0.09.2001.00.01.45">-46</definedName>
    <definedName name="SLD.000.C.0.09.2001.00.01.47101010001">8304</definedName>
    <definedName name="SLD.000.C.0.09.2001.00.01.47101010002">3054</definedName>
    <definedName name="SLD.000.C.0.09.2001.00.01.D1010">12920</definedName>
    <definedName name="SLD.000.C.0.09.2001.00.01.D1011">7375</definedName>
    <definedName name="SLD.000.C.0.09.2001.00.01.D1012">2248</definedName>
    <definedName name="SLD.000.C.0.09.2001.00.01.D1013">19324</definedName>
    <definedName name="SLD.000.C.0.09.2001.00.01.D1015">513718</definedName>
    <definedName name="SLD.000.C.0.09.2001.00.01.D1016">0</definedName>
    <definedName name="SLD.000.C.0.09.2001.00.01.D1017">7923</definedName>
    <definedName name="SLD.000.C.0.09.2001.00.01.D1018">-1670</definedName>
    <definedName name="SLD.000.C.0.09.2001.00.01.D1094">2893</definedName>
    <definedName name="SLD.000.C.0.09.2001.00.01.D1155">158</definedName>
    <definedName name="SLD.000.C.0.09.2001.00.01.DCRECEBER">2456</definedName>
    <definedName name="SLD.000.C.0.10.0000.00.00.11201010035">0</definedName>
    <definedName name="SLD.000.C.0.10.0000.00.00.11306010019">202.83</definedName>
    <definedName name="SLD.000.C.0.10.0000.00.00.11306010031">15275.16</definedName>
    <definedName name="SLD.000.C.0.10.0000.00.00.21704010001">23924.80000001</definedName>
    <definedName name="SLD.000.C.0.10.0000.00.01.11201010035">0</definedName>
    <definedName name="SLD.000.C.0.10.0000.00.01.11306010019">0</definedName>
    <definedName name="SLD.000.C.0.10.0000.00.01.11306010031">15</definedName>
    <definedName name="SLD.000.C.0.10.0000.00.01.117">695</definedName>
    <definedName name="SLD.000.C.0.10.0000.00.01.121">30859</definedName>
    <definedName name="SLD.000.C.0.10.0000.00.01.12301">937</definedName>
    <definedName name="SLD.000.C.0.10.0000.00.01.211">68903</definedName>
    <definedName name="SLD.000.C.0.10.0000.00.01.212">210</definedName>
    <definedName name="SLD.000.C.0.10.0000.00.01.216">545</definedName>
    <definedName name="SLD.000.C.0.10.0000.00.01.217">27330</definedName>
    <definedName name="SLD.000.C.0.10.0000.00.01.21704010001">24</definedName>
    <definedName name="SLD.000.C.0.10.0000.00.01.219">2428</definedName>
    <definedName name="SLD.000.C.0.10.0000.00.01.221">293045</definedName>
    <definedName name="SLD.000.C.0.10.0000.00.01.222">12514</definedName>
    <definedName name="SLD.000.C.0.10.0000.00.01.241">129974</definedName>
    <definedName name="SLD.000.C.0.10.0000.00.01.244">2180</definedName>
    <definedName name="SLD.000.C.0.10.0000.00.01.D1010">17271</definedName>
    <definedName name="SLD.000.C.0.10.0000.00.01.D1011">15613</definedName>
    <definedName name="SLD.000.C.0.10.0000.00.01.D1012">944</definedName>
    <definedName name="SLD.000.C.0.10.0000.00.01.D1013">7459</definedName>
    <definedName name="SLD.000.C.0.10.0000.00.01.D1014">323</definedName>
    <definedName name="SLD.000.C.0.10.0000.00.01.D1015">494149</definedName>
    <definedName name="SLD.000.C.0.10.0000.00.01.D1016">4962</definedName>
    <definedName name="SLD.000.C.0.10.0000.00.01.D1017">4190</definedName>
    <definedName name="SLD.000.C.0.10.0000.00.01.D1018">32726</definedName>
    <definedName name="SLD.000.C.0.10.0000.00.01.DCRECEBER">835</definedName>
    <definedName name="SLD.000.C.0.10.2000.00.01.311">229304</definedName>
    <definedName name="SLD.000.C.0.10.2000.00.01.312">7482</definedName>
    <definedName name="SLD.000.C.0.10.2000.00.01.32">-17176</definedName>
    <definedName name="SLD.000.C.0.10.2000.00.01.34">6787</definedName>
    <definedName name="SLD.000.C.0.10.2000.00.01.41">-129050</definedName>
    <definedName name="SLD.000.C.0.10.2000.00.01.42">-21320</definedName>
    <definedName name="SLD.000.C.0.10.2000.00.01.44">-54208</definedName>
    <definedName name="SLD.000.C.0.10.2000.00.01.45">-94</definedName>
    <definedName name="SLD.000.C.0.10.2000.00.01.47101010001">-5574</definedName>
    <definedName name="SLD.000.C.0.10.2000.00.01.47101010002">-1539</definedName>
    <definedName name="SLD.000.C.0.10.2001.00.00.2110202">10881502.85</definedName>
    <definedName name="SLD.000.C.0.10.2001.00.00.2110203">55226637.2899999</definedName>
    <definedName name="SLD.000.C.0.10.2001.00.00.2110302">28386509.52</definedName>
    <definedName name="SLD.000.C.0.10.2001.00.00.2210202">19016801.05</definedName>
    <definedName name="SLD.000.C.0.10.2001.00.00.2210203">149251446.629999</definedName>
    <definedName name="SLD.000.C.0.10.2001.00.00.2210302">105877571.47</definedName>
    <definedName name="SLD.000.C.0.10.2001.00.00.22201010001">5556543.48</definedName>
    <definedName name="SLD.000.C.0.10.2001.00.01.11201010035">0</definedName>
    <definedName name="SLD.000.C.0.10.2001.00.01.11306010019">0</definedName>
    <definedName name="SLD.000.C.0.10.2001.00.01.11306010031">0</definedName>
    <definedName name="SLD.000.C.0.10.2001.00.01.11306010034">0</definedName>
    <definedName name="SLD.000.C.0.10.2001.00.01.11306010036">73</definedName>
    <definedName name="SLD.000.C.0.10.2001.00.01.117">769</definedName>
    <definedName name="SLD.000.C.0.10.2001.00.01.121">0</definedName>
    <definedName name="SLD.000.C.0.10.2001.00.01.12301">576</definedName>
    <definedName name="SLD.000.C.0.10.2001.00.01.131">0</definedName>
    <definedName name="SLD.000.C.0.10.2001.00.01.211">94495</definedName>
    <definedName name="SLD.000.C.0.10.2001.00.01.2110202">10882</definedName>
    <definedName name="SLD.000.C.0.10.2001.00.01.2110203">55227</definedName>
    <definedName name="SLD.000.C.0.10.2001.00.01.2110302">28387</definedName>
    <definedName name="SLD.000.C.0.10.2001.00.01.212">130</definedName>
    <definedName name="SLD.000.C.0.10.2001.00.01.217">23634</definedName>
    <definedName name="SLD.000.C.0.10.2001.00.01.221">274146</definedName>
    <definedName name="SLD.000.C.0.10.2001.00.01.2210202">19017</definedName>
    <definedName name="SLD.000.C.0.10.2001.00.01.2210203">149251</definedName>
    <definedName name="SLD.000.C.0.10.2001.00.01.2210302">105878</definedName>
    <definedName name="SLD.000.C.0.10.2001.00.01.222">26696</definedName>
    <definedName name="SLD.000.C.0.10.2001.00.01.22201010001">5557</definedName>
    <definedName name="SLD.000.C.0.10.2001.00.01.241">137385</definedName>
    <definedName name="SLD.000.C.0.10.2001.00.01.244">3416</definedName>
    <definedName name="SLD.000.C.0.10.2001.00.01.311">255345</definedName>
    <definedName name="SLD.000.C.0.10.2001.00.01.312">10093</definedName>
    <definedName name="SLD.000.C.0.10.2001.00.01.32">-22260</definedName>
    <definedName name="SLD.000.C.0.10.2001.00.01.34">3447</definedName>
    <definedName name="SLD.000.C.0.10.2001.00.01.41">-134494</definedName>
    <definedName name="SLD.000.C.0.10.2001.00.01.42">-27702</definedName>
    <definedName name="SLD.000.C.0.10.2001.00.01.4410101">-38411</definedName>
    <definedName name="SLD.000.C.0.10.2001.00.01.4410102">-73993</definedName>
    <definedName name="SLD.000.C.0.10.2001.00.01.45">-43</definedName>
    <definedName name="SLD.000.C.0.10.2001.00.01.47101010001">6600</definedName>
    <definedName name="SLD.000.C.0.10.2001.00.01.47101010002">2441</definedName>
    <definedName name="SLD.000.C.0.10.2001.00.01.D1010">16116</definedName>
    <definedName name="SLD.000.C.0.10.2001.00.01.D1011">11907</definedName>
    <definedName name="SLD.000.C.0.10.2001.00.01.D1012">2246</definedName>
    <definedName name="SLD.000.C.0.10.2001.00.01.D1013">17007</definedName>
    <definedName name="SLD.000.C.0.10.2001.00.01.D1015">514760</definedName>
    <definedName name="SLD.000.C.0.10.2001.00.01.D1016">0</definedName>
    <definedName name="SLD.000.C.0.10.2001.00.01.D1017">2896</definedName>
    <definedName name="SLD.000.C.0.10.2001.00.01.D1018">2805</definedName>
    <definedName name="SLD.000.C.0.10.2001.00.01.D1094">3050</definedName>
    <definedName name="SLD.000.C.0.10.2001.00.01.D1155">3862</definedName>
    <definedName name="SLD.000.C.0.10.2001.00.01.DCRECEBER">1408</definedName>
    <definedName name="SLD.000.C.0.11.0000.00.01.11201010035">0</definedName>
    <definedName name="SLD.000.C.0.11.0000.00.01.11306010019">0</definedName>
    <definedName name="SLD.000.C.0.11.0000.00.01.11306010031">29</definedName>
    <definedName name="SLD.000.C.0.11.0000.00.01.117">593</definedName>
    <definedName name="SLD.000.C.0.11.0000.00.01.121">31536</definedName>
    <definedName name="SLD.000.C.0.11.0000.00.01.12301">907</definedName>
    <definedName name="SLD.000.C.0.11.0000.00.01.211">72049</definedName>
    <definedName name="SLD.000.C.0.11.0000.00.01.212">95</definedName>
    <definedName name="SLD.000.C.0.11.0000.00.01.216">559</definedName>
    <definedName name="SLD.000.C.0.11.0000.00.01.217">27062</definedName>
    <definedName name="SLD.000.C.0.11.0000.00.01.21704010001">19</definedName>
    <definedName name="SLD.000.C.0.11.0000.00.01.219">2531</definedName>
    <definedName name="SLD.000.C.0.11.0000.00.01.221">292325</definedName>
    <definedName name="SLD.000.C.0.11.0000.00.01.222">12514</definedName>
    <definedName name="SLD.000.C.0.11.0000.00.01.241">129974</definedName>
    <definedName name="SLD.000.C.0.11.0000.00.01.244">2180</definedName>
    <definedName name="SLD.000.C.0.11.0000.00.01.D1010">14444</definedName>
    <definedName name="SLD.000.C.0.11.0000.00.01.D1011">16290</definedName>
    <definedName name="SLD.000.C.0.11.0000.00.01.D1012">1130</definedName>
    <definedName name="SLD.000.C.0.11.0000.00.01.D1013">7601</definedName>
    <definedName name="SLD.000.C.0.11.0000.00.01.D1014">382</definedName>
    <definedName name="SLD.000.C.0.11.0000.00.01.D1015">497806</definedName>
    <definedName name="SLD.000.C.0.11.0000.00.01.D1016">4412</definedName>
    <definedName name="SLD.000.C.0.11.0000.00.01.D1017">4464</definedName>
    <definedName name="SLD.000.C.0.11.0000.00.01.D1018">32313</definedName>
    <definedName name="SLD.000.C.0.11.0000.00.01.DCRECEBER">964</definedName>
    <definedName name="SLD.000.C.0.11.2000.00.01.311">254101</definedName>
    <definedName name="SLD.000.C.0.11.2000.00.01.312">7993</definedName>
    <definedName name="SLD.000.C.0.11.2000.00.01.32">-19017</definedName>
    <definedName name="SLD.000.C.0.11.2000.00.01.34">7665</definedName>
    <definedName name="SLD.000.C.0.11.2000.00.01.41">-142242</definedName>
    <definedName name="SLD.000.C.0.11.2000.00.01.42">-23374</definedName>
    <definedName name="SLD.000.C.0.11.2000.00.01.44">-63917</definedName>
    <definedName name="SLD.000.C.0.11.2000.00.01.45">-133</definedName>
    <definedName name="SLD.000.C.0.11.2000.00.01.47101010001">-5412</definedName>
    <definedName name="SLD.000.C.0.11.2000.00.01.47101010002">-1465</definedName>
    <definedName name="SLD.000.C.0.11.2001.00.01.11201010035">0</definedName>
    <definedName name="SLD.000.C.0.11.2001.00.01.11306010019">0</definedName>
    <definedName name="SLD.000.C.0.11.2001.00.01.11306010031">0</definedName>
    <definedName name="SLD.000.C.0.11.2001.00.01.11306010034">5</definedName>
    <definedName name="SLD.000.C.0.11.2001.00.01.11306010036">73</definedName>
    <definedName name="SLD.000.C.0.11.2001.00.01.117">646</definedName>
    <definedName name="SLD.000.C.0.11.2001.00.01.121">0</definedName>
    <definedName name="SLD.000.C.0.11.2001.00.01.12301">546</definedName>
    <definedName name="SLD.000.C.0.11.2001.00.01.131">0</definedName>
    <definedName name="SLD.000.C.0.11.2001.00.01.211">90706</definedName>
    <definedName name="SLD.000.C.0.11.2001.00.01.2110202">9681</definedName>
    <definedName name="SLD.000.C.0.11.2001.00.01.2110203">52642</definedName>
    <definedName name="SLD.000.C.0.11.2001.00.01.2110302">28383</definedName>
    <definedName name="SLD.000.C.0.11.2001.00.01.212">39</definedName>
    <definedName name="SLD.000.C.0.11.2001.00.01.217">23618</definedName>
    <definedName name="SLD.000.C.0.11.2001.00.01.221">256947</definedName>
    <definedName name="SLD.000.C.0.11.2001.00.01.2210202">13645</definedName>
    <definedName name="SLD.000.C.0.11.2001.00.01.2210203">139416</definedName>
    <definedName name="SLD.000.C.0.11.2001.00.01.2210302">103886</definedName>
    <definedName name="SLD.000.C.0.11.2001.00.01.222">26992</definedName>
    <definedName name="SLD.000.C.0.11.2001.00.01.22201010001">5853</definedName>
    <definedName name="SLD.000.C.0.11.2001.00.01.241">137385</definedName>
    <definedName name="SLD.000.C.0.11.2001.00.01.244">3416</definedName>
    <definedName name="SLD.000.C.0.11.2001.00.01.311">284127</definedName>
    <definedName name="SLD.000.C.0.11.2001.00.01.312">10976</definedName>
    <definedName name="SLD.000.C.0.11.2001.00.01.32">-24765</definedName>
    <definedName name="SLD.000.C.0.11.2001.00.01.34">3546</definedName>
    <definedName name="SLD.000.C.0.11.2001.00.01.41">-148549</definedName>
    <definedName name="SLD.000.C.0.11.2001.00.01.42">-30247</definedName>
    <definedName name="SLD.000.C.0.11.2001.00.01.4410101">-41836</definedName>
    <definedName name="SLD.000.C.0.11.2001.00.01.4410102">-58702</definedName>
    <definedName name="SLD.000.C.0.11.2001.00.01.45">-43</definedName>
    <definedName name="SLD.000.C.0.11.2001.00.01.47101010001">886</definedName>
    <definedName name="SLD.000.C.0.11.2001.00.01.47101010002">411</definedName>
    <definedName name="SLD.000.C.0.11.2001.00.01.D1010">15204</definedName>
    <definedName name="SLD.000.C.0.11.2001.00.01.D1011">11953</definedName>
    <definedName name="SLD.000.C.0.11.2001.00.01.D1012">2247</definedName>
    <definedName name="SLD.000.C.0.11.2001.00.01.D1013">9263</definedName>
    <definedName name="SLD.000.C.0.11.2001.00.01.D1015">517243</definedName>
    <definedName name="SLD.000.C.0.11.2001.00.01.D1016">0</definedName>
    <definedName name="SLD.000.C.0.11.2001.00.01.D1017">2872</definedName>
    <definedName name="SLD.000.C.0.11.2001.00.01.D1018">17587</definedName>
    <definedName name="SLD.000.C.0.11.2001.00.01.D1094">3197</definedName>
    <definedName name="SLD.000.C.0.11.2001.00.01.D1155">3819</definedName>
    <definedName name="SLD.000.C.0.11.2001.00.01.DCRECEBER">1838</definedName>
    <definedName name="SLD.000.C.0.12.0000.00.01.11201010035">0</definedName>
    <definedName name="SLD.000.C.0.12.0000.00.01.11306010019">0</definedName>
    <definedName name="SLD.000.C.0.12.0000.00.01.11306010031">0</definedName>
    <definedName name="SLD.000.C.0.12.0000.00.01.117">0</definedName>
    <definedName name="SLD.000.C.0.12.0000.00.01.121">0</definedName>
    <definedName name="SLD.000.C.0.12.0000.00.01.131">0</definedName>
    <definedName name="SLD.000.C.0.12.0000.00.01.211">0</definedName>
    <definedName name="SLD.000.C.0.12.0000.00.01.212">0</definedName>
    <definedName name="SLD.000.C.0.12.0000.00.01.217">0</definedName>
    <definedName name="SLD.000.C.0.12.0000.00.01.21704010001">0</definedName>
    <definedName name="SLD.000.C.0.12.0000.00.01.221">0</definedName>
    <definedName name="SLD.000.C.0.12.0000.00.01.222">0</definedName>
    <definedName name="SLD.000.C.0.12.0000.00.01.241">0</definedName>
    <definedName name="SLD.000.C.0.12.0000.00.01.244">0</definedName>
    <definedName name="SLD.000.C.0.12.0000.00.01.31">0</definedName>
    <definedName name="SLD.000.C.0.12.0000.00.01.32">0</definedName>
    <definedName name="SLD.000.C.0.12.0000.00.01.34">0</definedName>
    <definedName name="SLD.000.C.0.12.0000.00.01.41">0</definedName>
    <definedName name="SLD.000.C.0.12.0000.00.01.42">0</definedName>
    <definedName name="SLD.000.C.0.12.0000.00.01.45">0</definedName>
    <definedName name="SLD.000.C.0.12.0000.00.01.47101010001">0</definedName>
    <definedName name="SLD.000.C.0.12.0000.00.01.47101010002">0</definedName>
    <definedName name="SLD.000.C.0.12.0000.00.01.D1010">0</definedName>
    <definedName name="SLD.000.C.0.12.0000.00.01.D1011">0</definedName>
    <definedName name="SLD.000.C.0.12.0000.00.01.D1012">0</definedName>
    <definedName name="SLD.000.C.0.12.0000.00.01.D1013">0</definedName>
    <definedName name="SLD.000.C.0.12.0000.00.01.D1015">0</definedName>
    <definedName name="SLD.000.C.0.12.0000.00.01.D1016">0</definedName>
    <definedName name="SLD.000.C.0.12.0000.00.01.D1017">0</definedName>
    <definedName name="SLD.000.C.0.12.0000.00.01.D1018">0</definedName>
    <definedName name="SLD.000.C.0.12.0000.00.01.D1025">0</definedName>
    <definedName name="SLD.000.C.0.12.0000.00.01.D1026">0</definedName>
    <definedName name="SLD.000.C.0.12.0000.00.01.D1030">0</definedName>
    <definedName name="SLD.000.C.0.12.0000.00.01.D1093">0</definedName>
    <definedName name="SLD.000.C.0.12.0000.00.01.D1094">0</definedName>
    <definedName name="SLD.000.C.0.12.0000.00.01.DCRECEBER">0</definedName>
    <definedName name="SLD.000.C.0.12.1999.00.00.117">386309.42000008</definedName>
    <definedName name="SLD.000.C.0.12.1999.00.00.121">32120074.2799987</definedName>
    <definedName name="SLD.000.C.0.12.1999.00.00.131">90000</definedName>
    <definedName name="SLD.000.C.0.12.1999.00.00.211">71813107.4799804</definedName>
    <definedName name="SLD.000.C.0.12.1999.00.00.212">988466.92000008</definedName>
    <definedName name="SLD.000.C.0.12.1999.00.00.217">30737899.1099853</definedName>
    <definedName name="SLD.000.C.0.12.1999.00.00.221">321088959</definedName>
    <definedName name="SLD.000.C.0.12.1999.00.00.222">12513945.7100067</definedName>
    <definedName name="SLD.000.C.0.12.1999.00.00.241">129974445.70996</definedName>
    <definedName name="SLD.000.C.0.12.1999.00.00.244">2180449.56999969</definedName>
    <definedName name="SLD.000.C.0.12.1999.00.00.31">244637695.850097</definedName>
    <definedName name="SLD.000.C.0.12.1999.00.00.32">-7509368.30000305</definedName>
    <definedName name="SLD.000.C.0.12.1999.00.00.34">14624027.0099945</definedName>
    <definedName name="SLD.000.C.0.12.1999.00.00.41">-137984469.360107</definedName>
    <definedName name="SLD.000.C.0.12.1999.00.00.42">-18822323.7999877</definedName>
    <definedName name="SLD.000.C.0.12.1999.00.00.45">1209821.75</definedName>
    <definedName name="SLD.000.C.0.12.1999.00.00.47101010001">6781028.15000153</definedName>
    <definedName name="SLD.000.C.0.12.1999.00.00.47101010002">1847856.37999916</definedName>
    <definedName name="SLD.000.C.0.12.1999.00.00.D1010">16016305.1600036</definedName>
    <definedName name="SLD.000.C.0.12.1999.00.00.D1011">25362635.7800293</definedName>
    <definedName name="SLD.000.C.0.12.1999.00.00.D1012">4699155.20999908</definedName>
    <definedName name="SLD.000.C.0.12.1999.00.00.D1013">8628884.52999878</definedName>
    <definedName name="SLD.000.C.0.12.1999.00.00.D1015">491398211.890625</definedName>
    <definedName name="SLD.000.C.0.12.1999.00.00.D1016">10463049.2499847</definedName>
    <definedName name="SLD.000.C.0.12.1999.00.00.D1017">2173749.31999969</definedName>
    <definedName name="SLD.000.C.0.12.1999.00.00.D1018">18114451.8701171</definedName>
    <definedName name="SLD.000.C.0.12.1999.00.00.D1025">-49193159.4400024</definedName>
    <definedName name="SLD.000.C.0.12.1999.00.00.D1026">-3587777.86999512</definedName>
    <definedName name="SLD.000.C.0.12.1999.00.00.D1030">-71352966.6400146</definedName>
    <definedName name="SLD.000.C.0.12.1999.00.00.D1074">-19349636.2700195</definedName>
    <definedName name="SLD.000.C.0.12.1999.00.00.D1075">-8628884.52999878</definedName>
    <definedName name="SLD.000.C.0.12.1999.00.00.D1076">77181160.7299804</definedName>
    <definedName name="SLD.000.C.0.12.1999.00.00.D1093">1255347.8599987</definedName>
    <definedName name="SLD.000.C.0.12.1999.00.00.D1094">1125951.77000046</definedName>
    <definedName name="SLD.000.C.0.12.1999.00.00.D997">52401126.4100341</definedName>
    <definedName name="SLD.000.C.0.12.1999.00.00.DCRECEBER">291453.08000183</definedName>
    <definedName name="SLD.000.C.0.12.1999.00.01.117">386</definedName>
    <definedName name="SLD.000.C.0.12.1999.00.01.121">32120</definedName>
    <definedName name="SLD.000.C.0.12.1999.00.01.131">90</definedName>
    <definedName name="SLD.000.C.0.12.1999.00.01.211">71813</definedName>
    <definedName name="SLD.000.C.0.12.1999.00.01.212">988</definedName>
    <definedName name="SLD.000.C.0.12.1999.00.01.217">30738</definedName>
    <definedName name="SLD.000.C.0.12.1999.00.01.221">321089</definedName>
    <definedName name="SLD.000.C.0.12.1999.00.01.222">12514</definedName>
    <definedName name="SLD.000.C.0.12.1999.00.01.241">129974</definedName>
    <definedName name="SLD.000.C.0.12.1999.00.01.244">2180</definedName>
    <definedName name="SLD.000.C.0.12.1999.00.01.31">244638</definedName>
    <definedName name="SLD.000.C.0.12.1999.00.01.32">-7509</definedName>
    <definedName name="SLD.000.C.0.12.1999.00.01.34">14624</definedName>
    <definedName name="SLD.000.C.0.12.1999.00.01.41">-137984</definedName>
    <definedName name="SLD.000.C.0.12.1999.00.01.42">-18822</definedName>
    <definedName name="SLD.000.C.0.12.1999.00.01.45">1210</definedName>
    <definedName name="SLD.000.C.0.12.1999.00.01.47101010001">6781</definedName>
    <definedName name="SLD.000.C.0.12.1999.00.01.47101010002">1848</definedName>
    <definedName name="SLD.000.C.0.12.1999.00.01.D1010">16016</definedName>
    <definedName name="SLD.000.C.0.12.1999.00.01.D1011">25363</definedName>
    <definedName name="SLD.000.C.0.12.1999.00.01.D1012">4699</definedName>
    <definedName name="SLD.000.C.0.12.1999.00.01.D1013">8629</definedName>
    <definedName name="SLD.000.C.0.12.1999.00.01.D1015">491398</definedName>
    <definedName name="SLD.000.C.0.12.1999.00.01.D1016">10463</definedName>
    <definedName name="SLD.000.C.0.12.1999.00.01.D1017">2174</definedName>
    <definedName name="SLD.000.C.0.12.1999.00.01.D1018">18114</definedName>
    <definedName name="SLD.000.C.0.12.1999.00.01.D1025">-49193</definedName>
    <definedName name="SLD.000.C.0.12.1999.00.01.D1026">-3588</definedName>
    <definedName name="SLD.000.C.0.12.1999.00.01.D1030">-71353</definedName>
    <definedName name="SLD.000.C.0.12.1999.00.01.D1074">-19350</definedName>
    <definedName name="SLD.000.C.0.12.1999.00.01.D1075">-8629</definedName>
    <definedName name="SLD.000.C.0.12.1999.00.01.D1076">77181</definedName>
    <definedName name="SLD.000.C.0.12.1999.00.01.D1093">1255</definedName>
    <definedName name="SLD.000.C.0.12.1999.00.01.D1094">1126</definedName>
    <definedName name="SLD.000.C.0.12.1999.00.01.D997">52401</definedName>
    <definedName name="SLD.000.C.0.12.1999.00.01.DCRECEBER">291</definedName>
    <definedName name="SLD.000.C.0.12.2000.00.00.117">533634.32999992</definedName>
    <definedName name="SLD.000.C.0.12.2000.00.00.121">31439885.269989</definedName>
    <definedName name="SLD.000.C.0.12.2000.00.00.131">0</definedName>
    <definedName name="SLD.000.C.0.12.2000.00.00.211">73815519.2800293</definedName>
    <definedName name="SLD.000.C.0.12.2000.00.00.212">88033.35000002</definedName>
    <definedName name="SLD.000.C.0.12.2000.00.00.217">17315355.6300048</definedName>
    <definedName name="SLD.000.C.0.12.2000.00.00.221">290102726.669921</definedName>
    <definedName name="SLD.000.C.0.12.2000.00.00.222">21139278.8200073</definedName>
    <definedName name="SLD.000.C.0.12.2000.00.00.241">129974445.70996</definedName>
    <definedName name="SLD.000.C.0.12.2000.00.00.244">2180449.56999969</definedName>
    <definedName name="SLD.000.C.0.12.2000.00.00.31">290217002.200195</definedName>
    <definedName name="SLD.000.C.0.12.2000.00.00.32">-21064440.0299987</definedName>
    <definedName name="SLD.000.C.0.12.2000.00.00.34">7705475.12000275</definedName>
    <definedName name="SLD.000.C.0.12.2000.00.00.41">-155587260.75</definedName>
    <definedName name="SLD.000.C.0.12.2000.00.00.42">-25368197.2900085</definedName>
    <definedName name="SLD.000.C.0.12.2000.00.00.45">-133099.42000008</definedName>
    <definedName name="SLD.000.C.0.12.2000.00.00.47101010001">-4710636.20999908</definedName>
    <definedName name="SLD.000.C.0.12.2000.00.00.47101010002">-1201172.17000008</definedName>
    <definedName name="SLD.000.C.0.12.2000.00.00.D1010">17989327</definedName>
    <definedName name="SLD.000.C.0.12.2000.00.00.D1011">9804813.5</definedName>
    <definedName name="SLD.000.C.0.12.2000.00.00.D1012">1992874.98999977</definedName>
    <definedName name="SLD.000.C.0.12.2000.00.00.D1013">7966124.47000122</definedName>
    <definedName name="SLD.000.C.0.12.2000.00.00.D1015">498771725.940429</definedName>
    <definedName name="SLD.000.C.0.12.2000.00.00.D1016">3861816.84998322</definedName>
    <definedName name="SLD.000.C.0.12.2000.00.00.D1017">6518375.77999878</definedName>
    <definedName name="SLD.000.C.0.12.2000.00.00.D1018">30428702.3901367</definedName>
    <definedName name="SLD.000.C.0.12.2000.00.00.D1025">-45744891.0900268</definedName>
    <definedName name="SLD.000.C.0.12.2000.00.00.D1026">-13650979.5200805</definedName>
    <definedName name="SLD.000.C.0.12.2000.00.00.D1030">-18147550.3200073</definedName>
    <definedName name="SLD.000.C.0.12.2000.00.00.D1093">1009504.21000004</definedName>
    <definedName name="SLD.000.C.0.12.2000.00.00.D1094">2896500.96999741</definedName>
    <definedName name="SLD.000.C.0.12.2000.00.00.DCRECEBER">1089681.6099987</definedName>
    <definedName name="SLD.000.C.0.12.2000.00.01.117">534</definedName>
    <definedName name="SLD.000.C.0.12.2000.00.01.121">31440</definedName>
    <definedName name="SLD.000.C.0.12.2000.00.01.131">0</definedName>
    <definedName name="SLD.000.C.0.12.2000.00.01.211">73816</definedName>
    <definedName name="SLD.000.C.0.12.2000.00.01.212">88</definedName>
    <definedName name="SLD.000.C.0.12.2000.00.01.217">17315</definedName>
    <definedName name="SLD.000.C.0.12.2000.00.01.221">290103</definedName>
    <definedName name="SLD.000.C.0.12.2000.00.01.222">21139</definedName>
    <definedName name="SLD.000.C.0.12.2000.00.01.241">129974</definedName>
    <definedName name="SLD.000.C.0.12.2000.00.01.244">3416</definedName>
    <definedName name="SLD.000.C.0.12.2000.00.01.31">290217</definedName>
    <definedName name="SLD.000.C.0.12.2000.00.01.32">-21064</definedName>
    <definedName name="SLD.000.C.0.12.2000.00.01.34">7705</definedName>
    <definedName name="SLD.000.C.0.12.2000.00.01.41">-155587</definedName>
    <definedName name="SLD.000.C.0.12.2000.00.01.42">-25368</definedName>
    <definedName name="SLD.000.C.0.12.2000.00.01.45">-133</definedName>
    <definedName name="SLD.000.C.0.12.2000.00.01.47101010001">-4711</definedName>
    <definedName name="SLD.000.C.0.12.2000.00.01.47101010002">-1201</definedName>
    <definedName name="SLD.000.C.0.12.2000.00.01.D1010">17989</definedName>
    <definedName name="SLD.000.C.0.12.2000.00.01.D1011">9805</definedName>
    <definedName name="SLD.000.C.0.12.2000.00.01.D1012">1993</definedName>
    <definedName name="SLD.000.C.0.12.2000.00.01.D1013">7966</definedName>
    <definedName name="SLD.000.C.0.12.2000.00.01.D1015">498772</definedName>
    <definedName name="SLD.000.C.0.12.2000.00.01.D1016">3862</definedName>
    <definedName name="SLD.000.C.0.12.2000.00.01.D1017">6518</definedName>
    <definedName name="SLD.000.C.0.12.2000.00.01.D1018">29193</definedName>
    <definedName name="SLD.000.C.0.12.2000.00.01.D1025">-45745</definedName>
    <definedName name="SLD.000.C.0.12.2000.00.01.D1026">-13651</definedName>
    <definedName name="SLD.000.C.0.12.2000.00.01.D1030">-18148</definedName>
    <definedName name="SLD.000.C.0.12.2000.00.01.D1093">1010</definedName>
    <definedName name="SLD.000.C.0.12.2000.00.01.D1094">2897</definedName>
    <definedName name="SLD.000.C.0.12.2000.00.01.DCRECEBER">1090</definedName>
    <definedName name="SLD.000.C.0.12.2001.00.01.11201010035">0</definedName>
    <definedName name="SLD.000.C.0.12.2001.00.01.11306010019">1</definedName>
    <definedName name="SLD.000.C.0.12.2001.00.01.11306010031">0</definedName>
    <definedName name="SLD.000.C.0.12.2001.00.01.11306010034">3</definedName>
    <definedName name="SLD.000.C.0.12.2001.00.01.11306010036">73</definedName>
    <definedName name="SLD.087.C.0.01.0000.00.01.21102">54378</definedName>
    <definedName name="SLD.087.C.0.01.0000.00.01.21103">22794</definedName>
    <definedName name="SLD.087.C.0.01.0000.00.01.22102">165826</definedName>
    <definedName name="SLD.087.C.0.01.0000.00.01.22103">123670</definedName>
    <definedName name="SLD.087.C.0.01.0000.00.01.24501">29193</definedName>
    <definedName name="SLD.087.C.0.01.0000.00.01.D1035">6124</definedName>
    <definedName name="SLD.087.C.0.01.0000.00.01.D1074">3439</definedName>
    <definedName name="SLD.087.C.0.01.2000.00.01.24501010001">-2740</definedName>
    <definedName name="SLD.087.C.0.02.0000.00.01.21102">58143</definedName>
    <definedName name="SLD.087.C.0.02.0000.00.01.21103">23767</definedName>
    <definedName name="SLD.087.C.0.02.0000.00.01.22102">172060</definedName>
    <definedName name="SLD.087.C.0.02.0000.00.01.22103">121699</definedName>
    <definedName name="SLD.087.C.0.02.0000.00.01.24501">29193</definedName>
    <definedName name="SLD.087.C.0.02.0000.00.01.D1035">15542</definedName>
    <definedName name="SLD.087.C.0.02.0000.00.01.D1074">-33</definedName>
    <definedName name="SLD.087.C.0.03.0000.00.01.21102">52333</definedName>
    <definedName name="SLD.087.C.0.03.0000.00.01.21103">23858</definedName>
    <definedName name="SLD.087.C.0.03.0000.00.01.22102">159867</definedName>
    <definedName name="SLD.087.C.0.03.0000.00.01.22103">119748</definedName>
    <definedName name="SLD.087.C.0.03.0000.00.01.24501">29193</definedName>
    <definedName name="SLD.087.C.0.03.0000.00.01.D1035">23151</definedName>
    <definedName name="SLD.087.C.0.03.0000.00.01.D1074">-5391</definedName>
    <definedName name="SLD.087.C.0.03.2000.00.01.34">702</definedName>
    <definedName name="SLD.087.C.0.03.2000.00.01.44">-7066</definedName>
    <definedName name="SLD.087.C.0.03.2000.00.01.D1074">8342</definedName>
    <definedName name="SLD.087.C.0.03.2000.00.01.D997">14663</definedName>
    <definedName name="SLD.087.C.0.03.2001.00.01.34">1803</definedName>
    <definedName name="SLD.087.C.0.03.2001.00.01.44">-33644</definedName>
    <definedName name="SLD.087.C.0.03.2001.00.01.D1074">-5391</definedName>
    <definedName name="SLD.087.C.0.03.2001.00.01.D1075">-10393</definedName>
    <definedName name="SLD.087.C.0.03.2001.00.01.D997">15100</definedName>
    <definedName name="SLD.087.C.0.04.0000.00.01.21102">54372</definedName>
    <definedName name="SLD.087.C.0.04.0000.00.01.21103">24897</definedName>
    <definedName name="SLD.087.C.0.04.0000.00.01.22102">161575</definedName>
    <definedName name="SLD.087.C.0.04.0000.00.01.22103">117776</definedName>
    <definedName name="SLD.087.C.0.04.0000.00.01.D1035">30760</definedName>
    <definedName name="SLD.087.C.0.04.0000.00.01.D1074">-4979</definedName>
    <definedName name="SLD.087.C.0.05.0000.00.01.21102">59405</definedName>
    <definedName name="SLD.087.C.0.05.0000.00.01.21103">26083</definedName>
    <definedName name="SLD.087.C.0.05.0000.00.01.22102">170697</definedName>
    <definedName name="SLD.087.C.0.05.0000.00.01.22103">115804</definedName>
    <definedName name="SLD.087.C.0.05.0000.00.01.D1035">38369</definedName>
    <definedName name="SLD.087.C.0.05.0000.00.01.D1074">-14254</definedName>
    <definedName name="SLD.087.C.0.06.0000.00.01.21102">59510</definedName>
    <definedName name="SLD.087.C.0.06.0000.00.01.21103">26015</definedName>
    <definedName name="SLD.087.C.0.06.0000.00.01.22102">166711</definedName>
    <definedName name="SLD.087.C.0.06.0000.00.01.22103">113810</definedName>
    <definedName name="SLD.087.C.0.06.0000.00.01.D1035">45978</definedName>
    <definedName name="SLD.087.C.0.06.0000.00.01.D1074">-9997</definedName>
    <definedName name="SLD.087.C.0.07.0000.00.01.21102">64399</definedName>
    <definedName name="SLD.087.C.0.07.0000.00.01.21103">27149</definedName>
    <definedName name="SLD.087.C.0.07.0000.00.01.22102">175854</definedName>
    <definedName name="SLD.087.C.0.07.0000.00.01.22103">111837</definedName>
    <definedName name="SLD.087.C.0.07.0000.00.01.D1035">53587</definedName>
    <definedName name="SLD.087.C.0.07.0000.00.01.D1074">-16582</definedName>
    <definedName name="SLD.087.C.0.07.2001.00.01.21102">64399</definedName>
    <definedName name="SLD.087.C.0.07.2001.00.01.21103">27149</definedName>
    <definedName name="SLD.087.C.0.07.2001.00.01.22102">175854</definedName>
    <definedName name="SLD.087.C.0.07.2001.00.01.22103">111837</definedName>
    <definedName name="SLD.087.C.0.07.2001.00.01.D1035">53587</definedName>
    <definedName name="SLD.087.C.0.07.2001.00.01.D1074">-16582</definedName>
    <definedName name="SLD.087.C.0.08.2000.00.01.21102">52598</definedName>
    <definedName name="SLD.087.C.0.08.2000.00.01.21103">21009</definedName>
    <definedName name="SLD.087.C.0.08.2000.00.01.22102">174915</definedName>
    <definedName name="SLD.087.C.0.08.2000.00.01.22103">132310</definedName>
    <definedName name="SLD.087.C.0.08.2000.00.01.24101010001">129974</definedName>
    <definedName name="SLD.087.C.0.08.2000.00.01.24401010001">1982</definedName>
    <definedName name="SLD.087.C.0.08.2000.00.01.24401010002">198</definedName>
    <definedName name="SLD.087.C.0.08.2000.00.01.24501">18114</definedName>
    <definedName name="SLD.087.C.0.08.2000.00.01.D1035">56850</definedName>
    <definedName name="SLD.087.C.0.08.2000.00.01.D1074">11588</definedName>
    <definedName name="SLD.087.C.0.08.2001.00.01.21102">69295</definedName>
    <definedName name="SLD.087.C.0.08.2001.00.01.21103">28322</definedName>
    <definedName name="SLD.087.C.0.08.2001.00.01.22102">184562</definedName>
    <definedName name="SLD.087.C.0.08.2001.00.01.22103">109852</definedName>
    <definedName name="SLD.087.C.0.08.2001.00.01.D1035">62490</definedName>
    <definedName name="SLD.087.C.0.08.2001.00.01.D1074">-21507</definedName>
    <definedName name="SLD.087.C.0.09.1999.00.01.24101010001">124174</definedName>
    <definedName name="SLD.087.C.0.09.1999.00.01.24401010001">1982</definedName>
    <definedName name="SLD.087.C.0.09.1999.00.01.24401010002">198</definedName>
    <definedName name="SLD.087.C.0.09.2000.00.01.11201010035">0</definedName>
    <definedName name="SLD.087.C.0.09.2000.00.01.11306010019">0</definedName>
    <definedName name="SLD.087.C.0.09.2000.00.01.21102">44925</definedName>
    <definedName name="SLD.087.C.0.09.2000.00.01.21103">19486</definedName>
    <definedName name="SLD.087.C.0.09.2000.00.01.2110302">19486</definedName>
    <definedName name="SLD.087.C.0.09.2000.00.01.22102">158111</definedName>
    <definedName name="SLD.087.C.0.09.2000.00.01.22103">131178</definedName>
    <definedName name="SLD.087.C.0.09.2000.00.01.24101010001">129974</definedName>
    <definedName name="SLD.087.C.0.09.2000.00.01.24401010001">1982</definedName>
    <definedName name="SLD.087.C.0.09.2000.00.01.24401010002">198</definedName>
    <definedName name="SLD.087.C.0.09.2000.00.01.24501">18114</definedName>
    <definedName name="SLD.087.C.0.09.2000.00.01.24501010001">-2740</definedName>
    <definedName name="SLD.087.C.0.09.2000.00.01.D1035">64621</definedName>
    <definedName name="SLD.087.C.0.09.2000.00.01.D1074">14031</definedName>
    <definedName name="SLD.087.C.0.09.2001.00.01.D1035">71452</definedName>
    <definedName name="SLD.087.C.0.09.2001.00.01.D1074">-23452</definedName>
    <definedName name="SLD.087.C.0.10.2000.00.01.21102">48321</definedName>
    <definedName name="SLD.087.C.0.10.2000.00.01.21103">20582</definedName>
    <definedName name="SLD.087.C.0.10.2000.00.01.22102">163710</definedName>
    <definedName name="SLD.087.C.0.10.2000.00.01.22103">129335</definedName>
    <definedName name="SLD.087.C.0.10.2000.00.01.D1035">72392</definedName>
    <definedName name="SLD.087.C.0.10.2000.00.01.D1074">14611</definedName>
    <definedName name="SLD.087.C.0.10.2001.00.01.D1035">80208</definedName>
    <definedName name="SLD.087.C.0.10.2001.00.01.D1074">-18978</definedName>
    <definedName name="SLD.087.C.0.11.2000.00.01.21102">50410</definedName>
    <definedName name="SLD.087.C.0.11.2000.00.01.21103">21639</definedName>
    <definedName name="SLD.087.C.0.11.2000.00.01.22102">164858</definedName>
    <definedName name="SLD.087.C.0.11.2000.00.01.22103">127467</definedName>
    <definedName name="SLD.087.C.0.11.2000.00.01.D1035">80163</definedName>
    <definedName name="SLD.087.C.0.11.2000.00.01.D1074">14199</definedName>
    <definedName name="SLD.087.C.0.11.2001.00.01.D1035">88567</definedName>
    <definedName name="SLD.087.C.0.11.2001.00.01.D1074">-4196</definedName>
    <definedName name="SLD.087.C.0.12.0000.00.01.21102">0</definedName>
    <definedName name="SLD.087.C.0.12.0000.00.01.21103">0</definedName>
    <definedName name="SLD.087.C.0.12.0000.00.01.22102">0</definedName>
    <definedName name="SLD.087.C.0.12.0000.00.01.22103">0</definedName>
    <definedName name="SLD.087.C.0.12.0000.00.01.24501">0</definedName>
    <definedName name="SLD.087.C.0.12.0000.00.01.D1035">0</definedName>
    <definedName name="SLD.087.C.0.12.0000.00.01.D1074">0</definedName>
    <definedName name="SLD.087.C.0.12.1999.00.00.24101010001">129974445.70996</definedName>
    <definedName name="SLD.087.C.0.12.1999.00.00.24401010001">1982226.87999916</definedName>
    <definedName name="SLD.087.C.0.12.1999.00.00.24401010002">198222.69000006</definedName>
    <definedName name="SLD.087.C.0.12.1999.00.00.24501010001">16609303.7200012</definedName>
    <definedName name="SLD.087.C.0.12.1999.00.01.24101010001">129974</definedName>
    <definedName name="SLD.087.C.0.12.1999.00.01.24401010001">1982</definedName>
    <definedName name="SLD.087.C.0.12.1999.00.01.24401010002">198</definedName>
    <definedName name="SLD.087.C.0.12.1999.00.01.24501010001">16609</definedName>
    <definedName name="SLD.087.C.0.12.2000.00.01.21102">52123</definedName>
    <definedName name="SLD.087.C.0.12.2000.00.01.21103">21692</definedName>
    <definedName name="SLD.087.C.0.12.2000.00.01.22102">164505</definedName>
    <definedName name="SLD.087.C.0.12.2000.00.01.22103">125598</definedName>
    <definedName name="SLD.087.C.0.12.2000.00.01.24101010001">129974</definedName>
    <definedName name="SLD.087.C.0.12.2000.00.01.24401010001">3105</definedName>
    <definedName name="SLD.087.C.0.12.2000.00.01.24401010002">311</definedName>
    <definedName name="SLD.087.C.0.12.2000.00.01.24501">16879</definedName>
    <definedName name="SLD.087.C.0.12.2000.00.01.24501010001">0</definedName>
    <definedName name="SLD.087.C.0.12.2000.00.01.D1035">87934</definedName>
    <definedName name="SLD.087.C.0.12.2000.00.01.D1074">12314</definedName>
    <definedName name="SLD.087.C.0.12.2001.00.01.D1035">97125</definedName>
    <definedName name="SLD.087.C.0.IN.2000.00.01.24101010001">129974</definedName>
    <definedName name="SLD.087.C.0.IN.2000.00.01.24401010001">1982</definedName>
    <definedName name="SLD.087.C.0.IN.2000.00.01.24401010002">198</definedName>
    <definedName name="SLD.087.C.0.IN.2000.00.01.24501">18114</definedName>
    <definedName name="solver_adj" hidden="1">#REF!</definedName>
    <definedName name="solver_cvg" hidden="1">0.001</definedName>
    <definedName name="solver_drv" hidden="1">1</definedName>
    <definedName name="solver_est" hidden="1">1</definedName>
    <definedName name="solver_itr" hidden="1">100</definedName>
    <definedName name="solver_lin" localSheetId="0" hidden="1">2</definedName>
    <definedName name="solver_lin" hidden="1">2</definedName>
    <definedName name="solver_neg" hidden="1">2</definedName>
    <definedName name="solver_num" hidden="1">0</definedName>
    <definedName name="solver_nwt" hidden="1">1</definedName>
    <definedName name="solver_opt" hidden="1">#REF!</definedName>
    <definedName name="solver_pre" hidden="1">0.000001</definedName>
    <definedName name="solver_rel10" hidden="1">1</definedName>
    <definedName name="solver_rel11" hidden="1">1</definedName>
    <definedName name="solver_rel12" hidden="1">1</definedName>
    <definedName name="solver_rel13" hidden="1">1</definedName>
    <definedName name="solver_rel14" hidden="1">1</definedName>
    <definedName name="solver_rel15" hidden="1">1</definedName>
    <definedName name="solver_rel16" hidden="1">1</definedName>
    <definedName name="solver_rel17" hidden="1">1</definedName>
    <definedName name="solver_rel18" hidden="1">1</definedName>
    <definedName name="solver_rel19" hidden="1">1</definedName>
    <definedName name="solver_rel20" hidden="1">1</definedName>
    <definedName name="solver_rel21" hidden="1">1</definedName>
    <definedName name="solver_rel22" hidden="1">1</definedName>
    <definedName name="solver_rel23" hidden="1">1</definedName>
    <definedName name="solver_rel24" hidden="1">1</definedName>
    <definedName name="solver_rel25" hidden="1">1</definedName>
    <definedName name="solver_rel26" hidden="1">1</definedName>
    <definedName name="solver_rel27" hidden="1">1</definedName>
    <definedName name="solver_rel28" hidden="1">1</definedName>
    <definedName name="solver_rel29" hidden="1">1</definedName>
    <definedName name="solver_rel30" hidden="1">1</definedName>
    <definedName name="solver_rel31" hidden="1">1</definedName>
    <definedName name="solver_rel32" hidden="1">1</definedName>
    <definedName name="solver_rel33" hidden="1">1</definedName>
    <definedName name="solver_rel34" hidden="1">1</definedName>
    <definedName name="solver_rel35" hidden="1">1</definedName>
    <definedName name="solver_rel36" hidden="1">1</definedName>
    <definedName name="solver_rel37" hidden="1">1</definedName>
    <definedName name="solver_rel38" hidden="1">1</definedName>
    <definedName name="solver_rel39" hidden="1">1</definedName>
    <definedName name="solver_rel40" hidden="1">1</definedName>
    <definedName name="solver_rel41" hidden="1">1</definedName>
    <definedName name="solver_rel42" hidden="1">1</definedName>
    <definedName name="solver_rel43" hidden="1">1</definedName>
    <definedName name="solver_rel44" hidden="1">1</definedName>
    <definedName name="solver_rel45" hidden="1">1</definedName>
    <definedName name="solver_rel46" hidden="1">1</definedName>
    <definedName name="solver_rel47" hidden="1">1</definedName>
    <definedName name="solver_rel48" hidden="1">1</definedName>
    <definedName name="solver_rel49" hidden="1">1</definedName>
    <definedName name="solver_rel50" hidden="1">1</definedName>
    <definedName name="solver_rel51" hidden="1">1</definedName>
    <definedName name="solver_rel52" hidden="1">1</definedName>
    <definedName name="solver_rel53" hidden="1">1</definedName>
    <definedName name="solver_rel54" hidden="1">1</definedName>
    <definedName name="solver_rel55" hidden="1">1</definedName>
    <definedName name="solver_rel56" hidden="1">1</definedName>
    <definedName name="solver_rel57" hidden="1">1</definedName>
    <definedName name="solver_rel58" hidden="1">1</definedName>
    <definedName name="solver_rel9" hidden="1">1</definedName>
    <definedName name="solver_scl" hidden="1">2</definedName>
    <definedName name="solver_sho" hidden="1">2</definedName>
    <definedName name="solver_tim" hidden="1">100</definedName>
    <definedName name="solver_tol" hidden="1">0.05</definedName>
    <definedName name="solver_typ" hidden="1">3</definedName>
    <definedName name="solver_val" hidden="1">19.66</definedName>
    <definedName name="SOMA1" localSheetId="27">#REF!</definedName>
    <definedName name="SOMA1">#REF!</definedName>
    <definedName name="SOMA2" localSheetId="27">#REF!</definedName>
    <definedName name="SOMA2">#REF!</definedName>
    <definedName name="SOMA3" localSheetId="27">#REF!</definedName>
    <definedName name="SOMA3">#REF!</definedName>
    <definedName name="soma4">#REF!</definedName>
    <definedName name="souza" hidden="1">{"TotalGeralDespesasPorArea",#N/A,FALSE,"VinculosAccessEfetivo"}</definedName>
    <definedName name="souzaribeiro" hidden="1">{"TotalGeralDespesasPorArea",#N/A,FALSE,"VinculosAccessEfetivo"}</definedName>
    <definedName name="sqdsad">#N/A</definedName>
    <definedName name="ss" localSheetId="27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ss" localSheetId="0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ss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ssdfdf">#N/A</definedName>
    <definedName name="sss" hidden="1">{"'Edit'!$A$1:$V$2277"}</definedName>
    <definedName name="sssaaa" localSheetId="27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sssaaa" localSheetId="0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sssaaa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ssss" localSheetId="27">#REF!</definedName>
    <definedName name="SSSS" localSheetId="26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SSSS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ssssssssss" localSheetId="27" hidden="1">#REF!</definedName>
    <definedName name="ssssssssss" localSheetId="0" hidden="1">#REF!</definedName>
    <definedName name="ssssssssss" hidden="1">#REF!</definedName>
    <definedName name="sssssssssss" localSheetId="27" hidden="1">#REF!</definedName>
    <definedName name="sssssssssss" localSheetId="0" hidden="1">#REF!</definedName>
    <definedName name="sssssssssss" hidden="1">#REF!</definedName>
    <definedName name="ssssssssssss" localSheetId="27" hidden="1">#REF!</definedName>
    <definedName name="ssssssssssss" localSheetId="0" hidden="1">#REF!</definedName>
    <definedName name="ssssssssssss" hidden="1">#REF!</definedName>
    <definedName name="sssw">#REF!</definedName>
    <definedName name="Status">#REF!</definedName>
    <definedName name="Sublanços_a" localSheetId="0" hidden="1">#REF!</definedName>
    <definedName name="Sublanços_a" hidden="1">#REF!</definedName>
    <definedName name="Subs_Calculados_v" localSheetId="0" hidden="1">#REF!</definedName>
    <definedName name="Subs_Calculados_v" hidden="1">#REF!</definedName>
    <definedName name="Subs_Exploração" localSheetId="0" hidden="1">#REF!</definedName>
    <definedName name="Subs_Exploração" hidden="1">#REF!</definedName>
    <definedName name="Subs_Recebidos_v" localSheetId="0" hidden="1">#REF!</definedName>
    <definedName name="Subs_Recebidos_v" hidden="1">#REF!</definedName>
    <definedName name="Subs_Taxas_v" localSheetId="0" hidden="1">#REF!</definedName>
    <definedName name="Subs_Taxas_v" hidden="1">#REF!</definedName>
    <definedName name="SUDENE">#N/A</definedName>
    <definedName name="Swvu.inputs._.raw._.data." hidden="1">#REF!</definedName>
    <definedName name="Swvu.PLANILHA2." localSheetId="27" hidden="1">#REF!</definedName>
    <definedName name="Swvu.PLANILHA2." localSheetId="0" hidden="1">#REF!</definedName>
    <definedName name="Swvu.PLANILHA2." hidden="1">#REF!</definedName>
    <definedName name="Swvu.summary1." hidden="1">#REF!</definedName>
    <definedName name="Swvu.summary2." hidden="1">#REF!</definedName>
    <definedName name="Swvu.summary3." hidden="1">#REF!</definedName>
    <definedName name="t" localSheetId="0" hidden="1">#REF!</definedName>
    <definedName name="t">#N/A</definedName>
    <definedName name="tab" localSheetId="27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tab" localSheetId="0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tab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Tabela">#REF!</definedName>
    <definedName name="Tabela_Areas_Serviço_Downpayment" localSheetId="27" hidden="1">#REF!</definedName>
    <definedName name="Tabela_Areas_Serviço_Downpayment" localSheetId="0" hidden="1">#REF!</definedName>
    <definedName name="Tabela_Areas_Serviço_Downpayment" hidden="1">#REF!</definedName>
    <definedName name="Tabela_Areas_Serviço_Fixas" localSheetId="27" hidden="1">#REF!</definedName>
    <definedName name="Tabela_Areas_Serviço_Fixas" localSheetId="0" hidden="1">#REF!</definedName>
    <definedName name="Tabela_Areas_Serviço_Fixas" hidden="1">#REF!</definedName>
    <definedName name="Tabela_Areas_Serviço_Proveitos_Diferidos" localSheetId="27" hidden="1">#REF!</definedName>
    <definedName name="Tabela_Areas_Serviço_Proveitos_Diferidos" localSheetId="0" hidden="1">#REF!</definedName>
    <definedName name="Tabela_Areas_Serviço_Proveitos_Diferidos" hidden="1">#REF!</definedName>
    <definedName name="Tabela_Areas_Serviço_Proveitos_Exercício" localSheetId="0" hidden="1">#REF!</definedName>
    <definedName name="Tabela_Areas_Serviço_Proveitos_Exercício" hidden="1">#REF!</definedName>
    <definedName name="Tabela_Custos_Exploração_Resumo" localSheetId="0" hidden="1">#REF!</definedName>
    <definedName name="Tabela_Custos_Exploração_Resumo" hidden="1">#REF!</definedName>
    <definedName name="Tabela_IVA" localSheetId="0" hidden="1">#REF!</definedName>
    <definedName name="Tabela_IVA" hidden="1">#REF!</definedName>
    <definedName name="Tabela_Lanços" localSheetId="0" hidden="1">#REF!</definedName>
    <definedName name="Tabela_Lanços" hidden="1">#REF!</definedName>
    <definedName name="Tabela_Outros_Proveitos" localSheetId="0" hidden="1">#REF!</definedName>
    <definedName name="Tabela_Outros_Proveitos" hidden="1">#REF!</definedName>
    <definedName name="Tabela_Prazos_Médios" localSheetId="0" hidden="1">#REF!</definedName>
    <definedName name="Tabela_Prazos_Médios" hidden="1">#REF!</definedName>
    <definedName name="Tabela_Sistema">#REF!</definedName>
    <definedName name="TabelaActualizaçãoTarifária" localSheetId="0" hidden="1">#REF!</definedName>
    <definedName name="TabelaActualizaçãoTarifária" hidden="1">#REF!</definedName>
    <definedName name="TabEmp">#REF!</definedName>
    <definedName name="TabMes">#REF!</definedName>
    <definedName name="TabPrazos">#REF!</definedName>
    <definedName name="TAC_Ant">#REF!</definedName>
    <definedName name="Tac_Atual">#REF!</definedName>
    <definedName name="taxa">#REF!</definedName>
    <definedName name="TAXAS" localSheetId="27">#REF!</definedName>
    <definedName name="TAXAS">#REF!</definedName>
    <definedName name="TAXES">#REF!</definedName>
    <definedName name="TBdbName" hidden="1">"88D5BF544BE111D2B8C5006097494125.mdb"</definedName>
    <definedName name="tec">#REF!</definedName>
    <definedName name="TeiaCx_CHECK" localSheetId="27">#REF!</definedName>
    <definedName name="TeiaCx_CHECK">#REF!</definedName>
    <definedName name="temp" localSheetId="27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temp" localSheetId="0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temp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tempo_depr">#REF!</definedName>
    <definedName name="ter" localSheetId="27">#REF!</definedName>
    <definedName name="ter">#REF!</definedName>
    <definedName name="TERCEIROS">#REF!</definedName>
    <definedName name="TERR" localSheetId="27">#REF!</definedName>
    <definedName name="TERR">#REF!</definedName>
    <definedName name="test" hidden="1">{"cap_structure",#N/A,FALSE,"Graph-Mkt Cap";"price",#N/A,FALSE,"Graph-Price";"ebit",#N/A,FALSE,"Graph-EBITDA";"ebitda",#N/A,FALSE,"Graph-EBITDA"}</definedName>
    <definedName name="TEST0" localSheetId="27">#REF!</definedName>
    <definedName name="TEST0">#REF!</definedName>
    <definedName name="TEST1" localSheetId="27">#REF!</definedName>
    <definedName name="TEST1">#REF!</definedName>
    <definedName name="teste" localSheetId="0">#REF!</definedName>
    <definedName name="teste">#REF!</definedName>
    <definedName name="teste1" localSheetId="27">#REF!</definedName>
    <definedName name="teste1">#REF!</definedName>
    <definedName name="testesteste" localSheetId="27">#REF!</definedName>
    <definedName name="testesteste">#REF!</definedName>
    <definedName name="TESTHKEY" localSheetId="27">#REF!</definedName>
    <definedName name="TESTHKEY">#REF!</definedName>
    <definedName name="TESTKEYS">#REF!</definedName>
    <definedName name="TESTVKEY">#REF!</definedName>
    <definedName name="TextRefCopy1">#REF!</definedName>
    <definedName name="TextRefCopy10">#REF!</definedName>
    <definedName name="TextRefCopy11">#REF!</definedName>
    <definedName name="TextRefCopy12">#REF!</definedName>
    <definedName name="TextRefCopy13">#REF!</definedName>
    <definedName name="TextRefCopy17">#REF!</definedName>
    <definedName name="TextRefCopy18">#REF!</definedName>
    <definedName name="TextRefCopy19">#REF!</definedName>
    <definedName name="TextRefCopy2">#REF!</definedName>
    <definedName name="TextRefCopy20">#REF!</definedName>
    <definedName name="TextRefCopy21">#REF!</definedName>
    <definedName name="TextRefCopy22">#REF!</definedName>
    <definedName name="TextRefCopy23">#REF!</definedName>
    <definedName name="TextRefCopy24">#REF!</definedName>
    <definedName name="TextRefCopy25">#REF!</definedName>
    <definedName name="TextRefCopy26">#REF!</definedName>
    <definedName name="TextRefCopy27">#REF!</definedName>
    <definedName name="TextRefCopy28">#REF!</definedName>
    <definedName name="TextRefCopy29">#REF!</definedName>
    <definedName name="TextRefCopy3" localSheetId="0">#REF!</definedName>
    <definedName name="TextRefCopy3">#REF!</definedName>
    <definedName name="TextRefCopy30">#REF!</definedName>
    <definedName name="TextRefCopy32">#REF!</definedName>
    <definedName name="TextRefCopy35">#REF!</definedName>
    <definedName name="TextRefCopy36">#REF!</definedName>
    <definedName name="TextRefCopy37">#REF!</definedName>
    <definedName name="TextRefCopy38">#REF!</definedName>
    <definedName name="TextRefCopy39">#REF!</definedName>
    <definedName name="TextRefCopy4" localSheetId="0">#REF!</definedName>
    <definedName name="TextRefCopy4">#REF!</definedName>
    <definedName name="TextRefCopy40">#REF!</definedName>
    <definedName name="TextRefCopy41">#REF!</definedName>
    <definedName name="TextRefCopy42">#REF!</definedName>
    <definedName name="TextRefCopy43">#REF!</definedName>
    <definedName name="TextRefCopy44">#REF!</definedName>
    <definedName name="TextRefCopy45">#REF!</definedName>
    <definedName name="TextRefCopy47">#REF!</definedName>
    <definedName name="TextRefCopy48">#REF!</definedName>
    <definedName name="TextRefCopy49">#REF!</definedName>
    <definedName name="TextRefCopy5" localSheetId="0">#REF!</definedName>
    <definedName name="TextRefCopy5">#REF!</definedName>
    <definedName name="TextRefCopy50">#REF!</definedName>
    <definedName name="TextRefCopy51">#REF!</definedName>
    <definedName name="TextRefCopy52">#REF!</definedName>
    <definedName name="TextRefCopy54">#REF!</definedName>
    <definedName name="TextRefCopy55">#REF!</definedName>
    <definedName name="TextRefCopy56">#REF!</definedName>
    <definedName name="TextRefCopy57">#REF!</definedName>
    <definedName name="TextRefCopy58">#REF!</definedName>
    <definedName name="TextRefCopy59">#REF!</definedName>
    <definedName name="TextRefCopy6">#REF!</definedName>
    <definedName name="TextRefCopy60">#REF!</definedName>
    <definedName name="TextRefCopy61">#REF!</definedName>
    <definedName name="TextRefCopy62">#REF!</definedName>
    <definedName name="TextRefCopy63">#REF!</definedName>
    <definedName name="TextRefCopy64">#REF!</definedName>
    <definedName name="TextRefCopy66">#REF!</definedName>
    <definedName name="TextRefCopy67">#REF!</definedName>
    <definedName name="TextRefCopy68">#REF!</definedName>
    <definedName name="TextRefCopy7">#REF!</definedName>
    <definedName name="TextRefCopy8">#REF!</definedName>
    <definedName name="TextRefCopy9">#REF!</definedName>
    <definedName name="TextRefCopyRangeCount" localSheetId="0" hidden="1">68</definedName>
    <definedName name="TextRefCopyRangeCount" hidden="1">68</definedName>
    <definedName name="th">#N/A</definedName>
    <definedName name="ThomasEliot" hidden="1">{"cap_structure",#N/A,FALSE,"Graph-Mkt Cap";"price",#N/A,FALSE,"Graph-Price";"ebit",#N/A,FALSE,"Graph-EBITDA";"ebitda",#N/A,FALSE,"Graph-EBITDA"}</definedName>
    <definedName name="TIP">#REF!</definedName>
    <definedName name="Tipo_de_Contratação">#REF!</definedName>
    <definedName name="Tipo_de_Contratação_Ext">#REF!</definedName>
    <definedName name="Tir_inicio" localSheetId="0">#REF!</definedName>
    <definedName name="Tir_inicio">#REF!</definedName>
    <definedName name="TÍTULO1" localSheetId="27">#REF!</definedName>
    <definedName name="TÍTULO1">#REF!</definedName>
    <definedName name="TÍTULO2" localSheetId="27">#REF!</definedName>
    <definedName name="TÍTULO2">#REF!</definedName>
    <definedName name="TÍTULO3" localSheetId="27">#REF!</definedName>
    <definedName name="TÍTULO3">#REF!</definedName>
    <definedName name="TÍTULO4">#REF!</definedName>
    <definedName name="_xlnm.Print_Titles" localSheetId="3">QDA!$1:$2</definedName>
    <definedName name="_xlnm.Print_Titles" localSheetId="4">QDB!$1:$2</definedName>
    <definedName name="_xlnm.Print_Titles" localSheetId="5">QDC!$B:$B</definedName>
    <definedName name="_xlnm.Print_Titles" localSheetId="6">QDD!$B:$C,QDD!$1:$3</definedName>
    <definedName name="_xlnm.Print_Titles" localSheetId="7">QDE!$B:$D,QDE!$1:$3</definedName>
    <definedName name="_xlnm.Print_Titles" localSheetId="8">QDF!$B:$D,QDF!$1:$3</definedName>
    <definedName name="_xlnm.Print_Titles" localSheetId="9">QDG!$B:$C,QDG!$1:$3</definedName>
    <definedName name="_xlnm.Print_Titles" localSheetId="10">QDH!$B:$C,QDH!$1:$3</definedName>
    <definedName name="_xlnm.Print_Titles" localSheetId="11">QDI!$B:$C</definedName>
    <definedName name="_xlnm.Print_Titles" localSheetId="12">QDJ!$B:$C,QDJ!$1:$3</definedName>
    <definedName name="_xlnm.Print_Titles" localSheetId="13">QDK!$B:$C,QDK!$1:$3</definedName>
    <definedName name="_xlnm.Print_Titles" localSheetId="14">QDL!$B:$C,QDL!$1:$3</definedName>
    <definedName name="_xlnm.Print_Titles" localSheetId="15">QDM!$B:$C,QDM!$1:$3</definedName>
    <definedName name="_xlnm.Print_Titles">#N/A</definedName>
    <definedName name="TK" localSheetId="27">#REF!</definedName>
    <definedName name="TK">#REF!</definedName>
    <definedName name="TMDA" localSheetId="27" hidden="1">#REF!</definedName>
    <definedName name="TMDA" localSheetId="0" hidden="1">#REF!</definedName>
    <definedName name="TMDA" hidden="1">#REF!</definedName>
    <definedName name="TMDA_kms_Exploração" localSheetId="27" hidden="1">#REF!</definedName>
    <definedName name="TMDA_kms_Exploração" localSheetId="0" hidden="1">#REF!</definedName>
    <definedName name="TMDA_kms_Exploração" hidden="1">#REF!</definedName>
    <definedName name="TMDA_Kms_Exploração_média" localSheetId="0" hidden="1">#REF!</definedName>
    <definedName name="TMDA_Kms_Exploração_média" hidden="1">#REF!</definedName>
    <definedName name="TMDA_kms_Percorridos_Lanços" localSheetId="0" hidden="1">#REF!</definedName>
    <definedName name="TMDA_kms_Percorridos_Lanços" hidden="1">#REF!</definedName>
    <definedName name="TMDA_Receitas" localSheetId="0" hidden="1">#REF!</definedName>
    <definedName name="TMDA_Receitas" hidden="1">#REF!</definedName>
    <definedName name="TMDA_Receitascl1" localSheetId="0" hidden="1">#REF!</definedName>
    <definedName name="TMDA_Receitascl1" hidden="1">#REF!</definedName>
    <definedName name="TMDA_Receitascl2" localSheetId="0" hidden="1">#REF!</definedName>
    <definedName name="TMDA_Receitascl2" hidden="1">#REF!</definedName>
    <definedName name="TMDA_Receitascl3" localSheetId="0" hidden="1">#REF!</definedName>
    <definedName name="TMDA_Receitascl3" hidden="1">#REF!</definedName>
    <definedName name="TMDA_Receitascl4" localSheetId="0" hidden="1">#REF!</definedName>
    <definedName name="TMDA_Receitascl4" hidden="1">#REF!</definedName>
    <definedName name="TMDA_ViasLanços" localSheetId="0" hidden="1">#REF!</definedName>
    <definedName name="TMDA_ViasLanços" hidden="1">#REF!</definedName>
    <definedName name="TMDAcl1" localSheetId="0" hidden="1">#REF!</definedName>
    <definedName name="TMDAcl1" hidden="1">#REF!</definedName>
    <definedName name="TMDAcl2" localSheetId="0" hidden="1">#REF!</definedName>
    <definedName name="TMDAcl2" hidden="1">#REF!</definedName>
    <definedName name="TMDAcl3" localSheetId="0" hidden="1">#REF!</definedName>
    <definedName name="TMDAcl3" hidden="1">#REF!</definedName>
    <definedName name="TMDAcl4" localSheetId="0" hidden="1">#REF!</definedName>
    <definedName name="TMDAcl4" hidden="1">#REF!</definedName>
    <definedName name="TOLUENO">#REF!</definedName>
    <definedName name="TOTAL">#REF!</definedName>
    <definedName name="total_captacao_giro">#REF!</definedName>
    <definedName name="Total_Global">#REF!</definedName>
    <definedName name="Total_Nós_média" localSheetId="0" hidden="1">#REF!</definedName>
    <definedName name="Total_Nós_média" hidden="1">#REF!</definedName>
    <definedName name="Total_Portagens_média" localSheetId="0" hidden="1">#REF!</definedName>
    <definedName name="Total_Portagens_média" hidden="1">#REF!</definedName>
    <definedName name="TOTAL1">#REF!</definedName>
    <definedName name="TOTAL2">#REF!</definedName>
    <definedName name="tr">#N/A</definedName>
    <definedName name="TRANS">#REF!</definedName>
    <definedName name="transferencia">#REF!</definedName>
    <definedName name="trech" localSheetId="27" hidden="1">#REF!</definedName>
    <definedName name="trech" localSheetId="0" hidden="1">#REF!</definedName>
    <definedName name="trech" hidden="1">#REF!</definedName>
    <definedName name="trhfbnghmn" localSheetId="27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trhfbnghmn" localSheetId="0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trhfbnghmn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trtrt">#N/A</definedName>
    <definedName name="tt" localSheetId="27" hidden="1">{#N/A,#N/A,FALSE,"Plan1";#N/A,#N/A,FALSE,"Plan2"}</definedName>
    <definedName name="tt" localSheetId="0" hidden="1">{#N/A,#N/A,FALSE,"Plan1";#N/A,#N/A,FALSE,"Plan2"}</definedName>
    <definedName name="tt" hidden="1">{#N/A,#N/A,FALSE,"Plan1";#N/A,#N/A,FALSE,"Plan2"}</definedName>
    <definedName name="ttt" localSheetId="27" hidden="1">{#N/A,#N/A,FALSE,"Plan1";#N/A,#N/A,FALSE,"Plan2"}</definedName>
    <definedName name="ttt" localSheetId="0" hidden="1">{#N/A,#N/A,FALSE,"Plan1";#N/A,#N/A,FALSE,"Plan2"}</definedName>
    <definedName name="ttt" hidden="1">{#N/A,#N/A,FALSE,"Plan1";#N/A,#N/A,FALSE,"Plan2"}</definedName>
    <definedName name="tttt">#N/A</definedName>
    <definedName name="ttttt" localSheetId="27" hidden="1">{#N/A,#N/A,FALSE,"Plan1";#N/A,#N/A,FALSE,"Plan2"}</definedName>
    <definedName name="ttttt" localSheetId="0" hidden="1">{#N/A,#N/A,FALSE,"Plan1";#N/A,#N/A,FALSE,"Plan2"}</definedName>
    <definedName name="ttttt" hidden="1">{#N/A,#N/A,FALSE,"Plan1";#N/A,#N/A,FALSE,"Plan2"}</definedName>
    <definedName name="tttttt" localSheetId="27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tttttt" localSheetId="0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tttttt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TUDO" localSheetId="27">#REF!</definedName>
    <definedName name="Tudo" localSheetId="0" hidden="1">{"'Edit'!$A$1:$V$2277"}</definedName>
    <definedName name="TUDO">#REF!</definedName>
    <definedName name="TUDO2" localSheetId="27">#REF!</definedName>
    <definedName name="TUDO2">#REF!</definedName>
    <definedName name="tx" localSheetId="27">#REF!</definedName>
    <definedName name="tx">#REF!</definedName>
    <definedName name="tx_br_equip">#REF!</definedName>
    <definedName name="tx_br_frete">#REF!</definedName>
    <definedName name="tx_br_serv">#REF!</definedName>
    <definedName name="tx_crescimento">#REF!</definedName>
    <definedName name="Tx_Dolar">#REF!</definedName>
    <definedName name="Tx_Juros1" localSheetId="27">#REF!</definedName>
    <definedName name="Tx_Juros1">#REF!</definedName>
    <definedName name="Tx_Juros2" localSheetId="27">#REF!</definedName>
    <definedName name="Tx_Juros2">#REF!</definedName>
    <definedName name="tx_us_serv">#REF!</definedName>
    <definedName name="tx_VPL_sem_alav">#REF!</definedName>
    <definedName name="txc" localSheetId="27">#REF!</definedName>
    <definedName name="txc">#REF!</definedName>
    <definedName name="txDez00" localSheetId="27">#REF!</definedName>
    <definedName name="txDez00">#REF!</definedName>
    <definedName name="tyuityui" localSheetId="27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tyuityui" localSheetId="0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tyuityui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u">#N/A</definedName>
    <definedName name="ufg" localSheetId="27">#REF!</definedName>
    <definedName name="ufg">#REF!</definedName>
    <definedName name="UFIR">#REF!</definedName>
    <definedName name="UFIR94">#REF!</definedName>
    <definedName name="uhu">#N/A</definedName>
    <definedName name="UILU" localSheetId="27" hidden="1">{#N/A,#N/A,FALSE,"Plan1";#N/A,#N/A,FALSE,"Plan2"}</definedName>
    <definedName name="UILU" localSheetId="0" hidden="1">{#N/A,#N/A,FALSE,"Plan1";#N/A,#N/A,FALSE,"Plan2"}</definedName>
    <definedName name="UILU" hidden="1">{#N/A,#N/A,FALSE,"Plan1";#N/A,#N/A,FALSE,"Plan2"}</definedName>
    <definedName name="uiopuiop" localSheetId="27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uiopuiop" localSheetId="0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uiopuiop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uioyuio" localSheetId="27" hidden="1">{#N/A,#N/A,FALSE,"Plan1";#N/A,#N/A,FALSE,"Plan2"}</definedName>
    <definedName name="uioyuio" localSheetId="0" hidden="1">{#N/A,#N/A,FALSE,"Plan1";#N/A,#N/A,FALSE,"Plan2"}</definedName>
    <definedName name="uioyuio" hidden="1">{#N/A,#N/A,FALSE,"Plan1";#N/A,#N/A,FALSE,"Plan2"}</definedName>
    <definedName name="UJMU58213W" hidden="1">#REF!</definedName>
    <definedName name="under" localSheetId="27">#REF!</definedName>
    <definedName name="under">#REF!</definedName>
    <definedName name="unit">#REF!</definedName>
    <definedName name="UNS">#REF!</definedName>
    <definedName name="URV" localSheetId="27">#REF!</definedName>
    <definedName name="URV">#REF!</definedName>
    <definedName name="USPlanDepr">#REF!</definedName>
    <definedName name="uu">#N/A</definedName>
    <definedName name="uuu" localSheetId="0">recuperação #REF!</definedName>
    <definedName name="uuu">#N/A</definedName>
    <definedName name="uuuu">#N/A</definedName>
    <definedName name="uuuuu">#N/A</definedName>
    <definedName name="uuuuuu">#N/A</definedName>
    <definedName name="uuuuuuuuuuuuuu" localSheetId="27" hidden="1">#REF!</definedName>
    <definedName name="uuuuuuuuuuuuuu" localSheetId="0" hidden="1">#REF!</definedName>
    <definedName name="uuuuuuuuuuuuuu" hidden="1">#REF!</definedName>
    <definedName name="uuuuuuuuuuuuuuuuuuuuuu" localSheetId="27" hidden="1">#REF!</definedName>
    <definedName name="uuuuuuuuuuuuuuuuuuuuuu" localSheetId="0" hidden="1">#REF!</definedName>
    <definedName name="uuuuuuuuuuuuuuuuuuuuuu" hidden="1">#REF!</definedName>
    <definedName name="uuuuuuuuuuuuuuuuuuuuuuuuuuuuuuuuuu" localSheetId="27" hidden="1">#REF!</definedName>
    <definedName name="uuuuuuuuuuuuuuuuuuuuuuuuuuuuuuuuuu" localSheetId="0" hidden="1">#REF!</definedName>
    <definedName name="uuuuuuuuuuuuuuuuuuuuuuuuuuuuuuuuuu" hidden="1">#REF!</definedName>
    <definedName name="uyrutryutryutr" localSheetId="0" hidden="1">#REF!</definedName>
    <definedName name="uyrutryutryutr" hidden="1">#REF!</definedName>
    <definedName name="uyruyrutr" localSheetId="0" hidden="1">#REF!</definedName>
    <definedName name="uyruyrutr" hidden="1">#REF!</definedName>
    <definedName name="uyruyuryu" localSheetId="0" hidden="1">#REF!</definedName>
    <definedName name="uyruyuryu" hidden="1">#REF!</definedName>
    <definedName name="uytruytury" localSheetId="0" hidden="1">#REF!</definedName>
    <definedName name="uytruytury" hidden="1">#REF!</definedName>
    <definedName name="uytruyuytu" localSheetId="0" hidden="1">#REF!</definedName>
    <definedName name="uytruyuytu" hidden="1">#REF!</definedName>
    <definedName name="uyturyuytu" localSheetId="0" hidden="1">#REF!</definedName>
    <definedName name="uyturyuytu" hidden="1">#REF!</definedName>
    <definedName name="uytuyt" localSheetId="0" hidden="1">#REF!</definedName>
    <definedName name="uytuyt" hidden="1">#REF!</definedName>
    <definedName name="uytuytuyruyt" localSheetId="0" hidden="1">#REF!</definedName>
    <definedName name="uytuytuyruyt" hidden="1">#REF!</definedName>
    <definedName name="uyuty" localSheetId="0" hidden="1">#REF!</definedName>
    <definedName name="uyuty" hidden="1">#REF!</definedName>
    <definedName name="v" localSheetId="0">recuperação #REF!</definedName>
    <definedName name="v">#N/A</definedName>
    <definedName name="V15CS" localSheetId="27">#REF!</definedName>
    <definedName name="V15CS">#REF!</definedName>
    <definedName name="V15NITRO" localSheetId="27">#REF!</definedName>
    <definedName name="V15NITRO">#REF!</definedName>
    <definedName name="V15PROPPET" localSheetId="27">#REF!</definedName>
    <definedName name="V15PROPPET">#REF!</definedName>
    <definedName name="V15PVC">#REF!</definedName>
    <definedName name="V42NITRO">#REF!</definedName>
    <definedName name="V42OPPCAM">#REF!</definedName>
    <definedName name="V42PROPPET">#REF!</definedName>
    <definedName name="V42PVC">#REF!</definedName>
    <definedName name="Val_Assoc_Interest_Exp_10yr">#REF!</definedName>
    <definedName name="Val_Assoc_Interest_Exp_48yr">#REF!</definedName>
    <definedName name="Val_Assoc_Interest_Exp_LE02">#REF!</definedName>
    <definedName name="Val_Assoc_Interest_Exp_Q03">#REF!</definedName>
    <definedName name="Val_Assoc_Interest_Income_10yr">#REF!</definedName>
    <definedName name="Val_Assoc_Interest_Income_48yr">#REF!</definedName>
    <definedName name="Val_Assoc_Interest_Income_LE02">#REF!</definedName>
    <definedName name="Val_Assoc_Interest_Income_Q03">#REF!</definedName>
    <definedName name="Val_Captured_Value_10yr">#REF!</definedName>
    <definedName name="Val_Captured_Value_48yr">#REF!</definedName>
    <definedName name="Val_Captured_Value_LE02">#REF!</definedName>
    <definedName name="Val_Cash_Dep_Sec_10yr">#REF!</definedName>
    <definedName name="Val_Cash_Dep_Sec_48yr">#REF!</definedName>
    <definedName name="Val_Cash_Dep_Sec_LE02">#REF!</definedName>
    <definedName name="Val_Cash_Dep_Sec_Q03">#REF!</definedName>
    <definedName name="Val_Cash_STDep_Sec_10yr">#REF!</definedName>
    <definedName name="Val_Cash_STDep_Sec_48yr">#REF!</definedName>
    <definedName name="Val_Cash_STDep_Sec_LE02">#REF!</definedName>
    <definedName name="Val_Cash_STDep_Sec_Q03">#REF!</definedName>
    <definedName name="Val_Cash_Surplus_10yr">#REF!</definedName>
    <definedName name="Val_Cash_Surplus_48yr">#REF!</definedName>
    <definedName name="Val_Cash_Surplus_LE02">#REF!</definedName>
    <definedName name="Val_Cash_Surplus_Q03">#REF!</definedName>
    <definedName name="Val_Corp_Curr_Tax_10yr">#REF!</definedName>
    <definedName name="Val_Corp_Curr_Tax_48yr">#REF!</definedName>
    <definedName name="Val_Corp_Curr_Tax_LE02">#REF!</definedName>
    <definedName name="Val_Corp_Curr_Tax_Q03">#REF!</definedName>
    <definedName name="Val_Corp_Defer_Tax_10yr">#REF!</definedName>
    <definedName name="Val_Corp_Defer_Tax_48yr">#REF!</definedName>
    <definedName name="Val_Corp_Defer_Tax_LE02">#REF!</definedName>
    <definedName name="Val_Corp_Defer_Tax_Q03">#REF!</definedName>
    <definedName name="Val_Debt_10yr">#REF!</definedName>
    <definedName name="Val_Debt_48yr">#REF!</definedName>
    <definedName name="Val_Debt_LE02">#REF!</definedName>
    <definedName name="Val_Debt_Q03">#REF!</definedName>
    <definedName name="Val_Debt2_10yr">#REF!</definedName>
    <definedName name="Val_Debt2_48yr">#REF!</definedName>
    <definedName name="Val_Debt2_LE02">#REF!</definedName>
    <definedName name="Val_Debt2_Q03">#REF!</definedName>
    <definedName name="Val_Div_Parent_Coys_10yr">#REF!</definedName>
    <definedName name="Val_Div_Parent_Coys_48yr">#REF!</definedName>
    <definedName name="Val_Div_Parent_Coys_LE02">#REF!</definedName>
    <definedName name="Val_Div_Parent_Coys_Q03">#REF!</definedName>
    <definedName name="Val_Financing_Items_10yr">#REF!</definedName>
    <definedName name="Val_Financing_Items_48yr">#REF!</definedName>
    <definedName name="Val_Financing_Items_LE02">#REF!</definedName>
    <definedName name="Val_Financing_Items_Q03">#REF!</definedName>
    <definedName name="Val_Free_Cash_Flow_10yr">#REF!</definedName>
    <definedName name="Val_Free_Cash_Flow_48yr">#REF!</definedName>
    <definedName name="Val_Free_Cash_Flow_LE02">#REF!</definedName>
    <definedName name="Val_Free_Cash_Flow_Q03">#REF!</definedName>
    <definedName name="Val_Free_Cash_Flow2_10yr">#REF!</definedName>
    <definedName name="Val_Free_Cash_Flow2_48yr">#REF!</definedName>
    <definedName name="Val_Free_Cash_Flow2_LE02">#REF!</definedName>
    <definedName name="Val_Free_Cash_Flows_10yr">#REF!</definedName>
    <definedName name="Val_Free_Cash_Flows_48yr">#REF!</definedName>
    <definedName name="Val_Free_Cash_Flows_LE02">#REF!</definedName>
    <definedName name="Val_Free_Cash_Flows_Q03">#REF!</definedName>
    <definedName name="Val_IBV_10yr">#REF!</definedName>
    <definedName name="Val_IBV_48yr">#REF!</definedName>
    <definedName name="Val_IBV_LE02">#REF!</definedName>
    <definedName name="Val_IBV_Q03">#REF!</definedName>
    <definedName name="Val_IBV2_10yr">#REF!</definedName>
    <definedName name="Val_IBV2_48yr">#REF!</definedName>
    <definedName name="Val_IBV2_LE02">#REF!</definedName>
    <definedName name="Val_IBV2_Q03">#REF!</definedName>
    <definedName name="Val_Int_Bear_Debt_10yr">#REF!</definedName>
    <definedName name="Val_Int_Bear_Debt_48yr">#REF!</definedName>
    <definedName name="Val_Int_Bear_Debt_LE02">#REF!</definedName>
    <definedName name="Val_Int_Bear_Debt_Q03">#REF!</definedName>
    <definedName name="Val_Int_Bear_Debt2_10yr">#REF!</definedName>
    <definedName name="Val_Int_Bear_Debt2_48yr">#REF!</definedName>
    <definedName name="Val_Int_Bear_Debt2_LE02">#REF!</definedName>
    <definedName name="Val_Int_Bear_Debt2_Q03">#REF!</definedName>
    <definedName name="Val_Interest_Exp_10yr">#REF!</definedName>
    <definedName name="Val_Interest_Exp_48yr">#REF!</definedName>
    <definedName name="Val_Interest_Exp_LE02">#REF!</definedName>
    <definedName name="Val_Interest_Exp_Q03">#REF!</definedName>
    <definedName name="Val_Interest_Income_10yr">#REF!</definedName>
    <definedName name="Val_Interest_Income_48yr">#REF!</definedName>
    <definedName name="Val_Interest_Income_LE02">#REF!</definedName>
    <definedName name="Val_Interest_Income_Q03">#REF!</definedName>
    <definedName name="Val_ISV_10yr">#REF!</definedName>
    <definedName name="Val_ISV_48yr">#REF!</definedName>
    <definedName name="Val_ISV_LE02">#REF!</definedName>
    <definedName name="Val_ISV_Q03">#REF!</definedName>
    <definedName name="Val_ISV2_10yr">#REF!</definedName>
    <definedName name="Val_ISV2_48yr">#REF!</definedName>
    <definedName name="Val_ISV2_LE02">#REF!</definedName>
    <definedName name="Val_ISV2_Q03">#REF!</definedName>
    <definedName name="Val_ISV3_48yr">#REF!</definedName>
    <definedName name="Val_ISV3_LE02">#REF!</definedName>
    <definedName name="Val_Minority_Interest_Cap_10yr">#REF!</definedName>
    <definedName name="Val_Minority_Interest_Cap_48yr">#REF!</definedName>
    <definedName name="Val_Minority_Interest_Cap_LE02">#REF!</definedName>
    <definedName name="Val_Minority_Interest_Cap_Q03">#REF!</definedName>
    <definedName name="Val_Movement_Par_Cap_10yr">#REF!</definedName>
    <definedName name="Val_Movement_Par_Cap_48yr">#REF!</definedName>
    <definedName name="Val_Movement_Par_Cap_LE02">#REF!</definedName>
    <definedName name="Val_Movement_Par_Cap_Q03">#REF!</definedName>
    <definedName name="Val_Quasi_Equity_Debt_10yr">#REF!</definedName>
    <definedName name="Val_Quasi_Equity_Debt_48yr">#REF!</definedName>
    <definedName name="Val_Quasi_Equity_Debt_LE02">#REF!</definedName>
    <definedName name="Val_Quasi_Equity_Debt_Q03">#REF!</definedName>
    <definedName name="Val_Quasi_Equity_Debt2_10yr">#REF!</definedName>
    <definedName name="Val_Quasi_Equity_Debt2_48yr">#REF!</definedName>
    <definedName name="Val_Quasi_Equity_Debt2_LE02">#REF!</definedName>
    <definedName name="Val_Quasi_Equity_Debt2_Q03">#REF!</definedName>
    <definedName name="Val_Res_Val_Amt">#REF!</definedName>
    <definedName name="Val_Res_Val_Yr">#REF!</definedName>
    <definedName name="Val_Shell_Share">#REF!</definedName>
    <definedName name="Val_Tax_On_Financing_Items_10yr">#REF!</definedName>
    <definedName name="Val_Tax_On_Financing_Items_48yr">#REF!</definedName>
    <definedName name="Val_Tax_On_Financing_Items_LE02">#REF!</definedName>
    <definedName name="Val_Tax_On_Financing_Items_Q03">#REF!</definedName>
    <definedName name="Val_WACC_MOD">#REF!</definedName>
    <definedName name="VALOR_MEDIO">#REF!</definedName>
    <definedName name="VALOR_MEDIO2">#REF!</definedName>
    <definedName name="VALOR2">#REF!</definedName>
    <definedName name="Vanessa" localSheetId="27" hidden="1">{#N/A,#N/A,FALSE,"Aging Summary";#N/A,#N/A,FALSE,"Ratio Analysis";#N/A,#N/A,FALSE,"Test 120 Day Accts";#N/A,#N/A,FALSE,"Tickmarks"}</definedName>
    <definedName name="Vanessa" localSheetId="0" hidden="1">{#N/A,#N/A,FALSE,"Aging Summary";#N/A,#N/A,FALSE,"Ratio Analysis";#N/A,#N/A,FALSE,"Test 120 Day Accts";#N/A,#N/A,FALSE,"Tickmarks"}</definedName>
    <definedName name="Vanessa" hidden="1">{#N/A,#N/A,FALSE,"Aging Summary";#N/A,#N/A,FALSE,"Ratio Analysis";#N/A,#N/A,FALSE,"Test 120 Day Accts";#N/A,#N/A,FALSE,"Tickmarks"}</definedName>
    <definedName name="Variacao">#REF!</definedName>
    <definedName name="vbnmvmnnbm" localSheetId="27" hidden="1">#REF!</definedName>
    <definedName name="vbnmvmnnbm" localSheetId="0" hidden="1">#REF!</definedName>
    <definedName name="vbnmvmnnbm" hidden="1">#REF!</definedName>
    <definedName name="venda_existente_cloro" localSheetId="27">#REF!</definedName>
    <definedName name="venda_existente_cloro">#REF!</definedName>
    <definedName name="venda_existente_H2" localSheetId="27">#REF!</definedName>
    <definedName name="venda_existente_H2">#REF!</definedName>
    <definedName name="venda_existente_HCl">#REF!</definedName>
    <definedName name="venda_existente_hipo">#REF!</definedName>
    <definedName name="venda_existente_soda">#REF!</definedName>
    <definedName name="Venda_VIPE_Participação_Percentual">#REF!</definedName>
    <definedName name="VENDAS_DE_OUTROS_PRODUTOS">#REF!</definedName>
    <definedName name="VENDAS_MERCADO_EXTERNO">#REF!</definedName>
    <definedName name="VENDAS_MERCADO_INTERNO">#REF!</definedName>
    <definedName name="VENDAS_MERCADO_INTERNO_CONVENCIONAL">#REF!</definedName>
    <definedName name="VENDAS_MERCADO_INTERNO_VIPE">#REF!</definedName>
    <definedName name="VENDAS_MERCADO_TOTAL_CONSOLIDADO">#REF!</definedName>
    <definedName name="VENDAS_RESUMO_POR_FÁBRICA">#REF!</definedName>
    <definedName name="vfrt">#N/A</definedName>
    <definedName name="vgv_incorp" localSheetId="27">#REF!</definedName>
    <definedName name="vgv_incorp">#REF!</definedName>
    <definedName name="VIEW_1">#REF!</definedName>
    <definedName name="VIEW_2">#REF!</definedName>
    <definedName name="VIEW_3">#REF!</definedName>
    <definedName name="VIEW_4">#REF!</definedName>
    <definedName name="visões">#REF!</definedName>
    <definedName name="vlr_mensal" localSheetId="27">#REF!</definedName>
    <definedName name="vlr_mensal">#REF!</definedName>
    <definedName name="VN" localSheetId="27" hidden="1">{#N/A,#N/A,FALSE,"Plan1";#N/A,#N/A,FALSE,"Plan2"}</definedName>
    <definedName name="VN" localSheetId="0" hidden="1">{#N/A,#N/A,FALSE,"Plan1";#N/A,#N/A,FALSE,"Plan2"}</definedName>
    <definedName name="VN" hidden="1">{#N/A,#N/A,FALSE,"Plan1";#N/A,#N/A,FALSE,"Plan2"}</definedName>
    <definedName name="VPL" localSheetId="27">#REF!</definedName>
    <definedName name="VPL">#REF!</definedName>
    <definedName name="vv" localSheetId="27" hidden="1">#REF!</definedName>
    <definedName name="vv" localSheetId="0" hidden="1">#REF!</definedName>
    <definedName name="vv" hidden="1">#REF!</definedName>
    <definedName name="vvbb" localSheetId="27" hidden="1">{"tabela",#N/A,FALSE,"Tabela";"decoração",#N/A,FALSE,"Decor.";"Informações",#N/A,FALSE,"Inform."}</definedName>
    <definedName name="vvbb" localSheetId="0" hidden="1">{"tabela",#N/A,FALSE,"Tabela";"decoração",#N/A,FALSE,"Decor.";"Informações",#N/A,FALSE,"Inform."}</definedName>
    <definedName name="vvbb" hidden="1">{"tabela",#N/A,FALSE,"Tabela";"decoração",#N/A,FALSE,"Decor.";"Informações",#N/A,FALSE,"Inform."}</definedName>
    <definedName name="vvcbnb" localSheetId="27" hidden="1">{#N/A,#N/A,FALSE,"Plan1";#N/A,#N/A,FALSE,"Plan2"}</definedName>
    <definedName name="vvcbnb" localSheetId="0" hidden="1">{#N/A,#N/A,FALSE,"Plan1";#N/A,#N/A,FALSE,"Plan2"}</definedName>
    <definedName name="vvcbnb" hidden="1">{#N/A,#N/A,FALSE,"Plan1";#N/A,#N/A,FALSE,"Plan2"}</definedName>
    <definedName name="vvvvv" localSheetId="27" hidden="1">{#N/A,#N/A,FALSE,"Plan1";#N/A,#N/A,FALSE,"Plan2"}</definedName>
    <definedName name="vvvvv" localSheetId="0" hidden="1">{#N/A,#N/A,FALSE,"Plan1";#N/A,#N/A,FALSE,"Plan2"}</definedName>
    <definedName name="vvvvv" hidden="1">{#N/A,#N/A,FALSE,"Plan1";#N/A,#N/A,FALSE,"Plan2"}</definedName>
    <definedName name="vvvvvv" localSheetId="27" hidden="1">{#N/A,#N/A,FALSE,"Plan1";#N/A,#N/A,FALSE,"Plan2"}</definedName>
    <definedName name="vvvvvv" localSheetId="0" hidden="1">{#N/A,#N/A,FALSE,"Plan1";#N/A,#N/A,FALSE,"Plan2"}</definedName>
    <definedName name="vvvvvv" hidden="1">{#N/A,#N/A,FALSE,"Plan1";#N/A,#N/A,FALSE,"Plan2"}</definedName>
    <definedName name="vvvvvvv" localSheetId="27" hidden="1">#REF!</definedName>
    <definedName name="vvvvvvv" localSheetId="0" hidden="1">#REF!</definedName>
    <definedName name="vvvvvvv" hidden="1">#REF!</definedName>
    <definedName name="vvvvvvvvvvvv" localSheetId="27" hidden="1">#REF!</definedName>
    <definedName name="vvvvvvvvvvvv" localSheetId="0" hidden="1">#REF!</definedName>
    <definedName name="vvvvvvvvvvvv" hidden="1">#REF!</definedName>
    <definedName name="w">#N/A</definedName>
    <definedName name="wacc" localSheetId="27">#REF!</definedName>
    <definedName name="wacc">#REF!</definedName>
    <definedName name="wawsqaq" localSheetId="27" hidden="1">#REF!</definedName>
    <definedName name="wawsqaq" localSheetId="0" hidden="1">#REF!</definedName>
    <definedName name="wawsqaq" hidden="1">#REF!</definedName>
    <definedName name="wdqdqws" localSheetId="27" hidden="1">#REF!</definedName>
    <definedName name="wdqdqws" localSheetId="0" hidden="1">#REF!</definedName>
    <definedName name="wdqdqws" hidden="1">#REF!</definedName>
    <definedName name="wefewfef" localSheetId="0" hidden="1">#REF!</definedName>
    <definedName name="wefewfef" hidden="1">#REF!</definedName>
    <definedName name="WERDFG" localSheetId="27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WERDFG" localSheetId="0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WERDFG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WERG">#REF!</definedName>
    <definedName name="wertwertwetr" localSheetId="27" hidden="1">{#N/A,#N/A,FALSE,"Aging Summary";#N/A,#N/A,FALSE,"Ratio Analysis";#N/A,#N/A,FALSE,"Test 120 Day Accts";#N/A,#N/A,FALSE,"Tickmarks"}</definedName>
    <definedName name="wertwertwetr" localSheetId="0" hidden="1">{#N/A,#N/A,FALSE,"Aging Summary";#N/A,#N/A,FALSE,"Ratio Analysis";#N/A,#N/A,FALSE,"Test 120 Day Accts";#N/A,#N/A,FALSE,"Tickmarks"}</definedName>
    <definedName name="wertwertwetr" hidden="1">{#N/A,#N/A,FALSE,"Aging Summary";#N/A,#N/A,FALSE,"Ratio Analysis";#N/A,#N/A,FALSE,"Test 120 Day Accts";#N/A,#N/A,FALSE,"Tickmarks"}</definedName>
    <definedName name="wewe">#N/A</definedName>
    <definedName name="WK">#REF!</definedName>
    <definedName name="wq" localSheetId="27">{0;0;0;0;1;#N/A;0.5;0.5;0.75;0.75;2;TRUE;TRUE;FALSE;FALSE;FALSE;#N/A;1;#N/A;1;1;"&amp;L&amp;7 RAMIBD05\GROUPS\EMG\DESOUSA\BRAZIL\MACHADIB\MODEL\MODEL_12.XLS -- &amp;D, &amp;T -- Page &amp;P of &amp;N
&amp;7";"&amp;L&amp;F&amp;A&amp;RPage&amp;P"}</definedName>
    <definedName name="wq">{0;0;0;0;1;#N/A;0.5;0.5;0.75;0.75;2;TRUE;TRUE;FALSE;FALSE;FALSE;#N/A;1;#N/A;1;1;"&amp;L&amp;7 RAMIBD05\GROUPS\EMG\DESOUSA\BRAZIL\MACHADIB\MODEL\MODEL_12.XLS -- &amp;D, &amp;T -- Page &amp;P of &amp;N
&amp;7";"&amp;L&amp;F&amp;A&amp;RPage&amp;P"}</definedName>
    <definedName name="wqewewq" localSheetId="27" hidden="1">#REF!</definedName>
    <definedName name="wqewewq" localSheetId="0" hidden="1">#REF!</definedName>
    <definedName name="wqewewq" hidden="1">#REF!</definedName>
    <definedName name="wqwq">#N/A</definedName>
    <definedName name="wrn.3cases." hidden="1">{#N/A,"Base",FALSE,"Dividend";#N/A,"Conservative",FALSE,"Dividend";#N/A,"Downside",FALSE,"Dividend"}</definedName>
    <definedName name="wrn.Accretion." hidden="1">{"Accretion",#N/A,FALSE,"Assum"}</definedName>
    <definedName name="wrn.Accretion._.Dilution." hidden="1">{#N/A,#N/A,TRUE,"Snapshot";#N/A,#N/A,TRUE,"PE at Different Premiums";#N/A,#N/A,TRUE,"EBITDA at Different Premiums";#N/A,#N/A,TRUE,"Long Form Dilution";#N/A,#N/A,TRUE,"AVP";#N/A,#N/A,TRUE,"Has-Gets";#N/A,#N/A,TRUE,"Contribution"}</definedName>
    <definedName name="wrn.Accretion._.Dilution._split" hidden="1">{#N/A,#N/A,TRUE,"Snapshot";#N/A,#N/A,TRUE,"PE at Different Premiums";#N/A,#N/A,TRUE,"EBITDA at Different Premiums";#N/A,#N/A,TRUE,"Long Form Dilution";#N/A,#N/A,TRUE,"AVP";#N/A,#N/A,TRUE,"Has-Gets";#N/A,#N/A,TRUE,"Contribution"}</definedName>
    <definedName name="wrn.Aging._.and._.Trend._.Analysis." localSheetId="27" hidden="1">{#N/A,#N/A,FALSE,"Aging Summary";#N/A,#N/A,FALSE,"Ratio Analysis";#N/A,#N/A,FALSE,"Test 120 Day Accts";#N/A,#N/A,FALSE,"Tickmarks"}</definedName>
    <definedName name="wrn.Aging._.and._.Trend._.Analysis." localSheetId="0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rn.Assumptions." hidden="1">{"Assumptions",#N/A,FALSE,"Assum"}</definedName>
    <definedName name="wrn.Board._.Pack." hidden="1">{"Board Income Statement",#N/A,FALSE,"Board Summary";"Board Balance Sheet",#N/A,FALSE,"Board Summary";"Board Cash Flow",#N/A,FALSE,"Board Summary"}</definedName>
    <definedName name="wrn.Carrefour._.Worse._.Case." hidden="1">{#N/A,#N/A,TRUE,"DIVIDER PAGE";#N/A,#N/A,TRUE,"Exist + Reg A IS";#N/A,#N/A,TRUE,"Summary IS exc. B";#N/A,#N/A,TRUE,"New Stores";#N/A,#N/A,TRUE,"Existing DCF";#N/A,#N/A,TRUE,"Region A DCF";#N/A,#N/A,TRUE,"Existing + Reg. A DCF"}</definedName>
    <definedName name="wrn.Carrefour._.Worse._.Case._Split" hidden="1">{#N/A,#N/A,TRUE,"DIVIDER PAGE";#N/A,#N/A,TRUE,"Exist + Reg A IS";#N/A,#N/A,TRUE,"Summary IS exc. B";#N/A,#N/A,TRUE,"New Stores";#N/A,#N/A,TRUE,"Existing DCF";#N/A,#N/A,TRUE,"Region A DCF";#N/A,#N/A,TRUE,"Existing + Reg. A DCF"}</definedName>
    <definedName name="wrn.client." hidden="1">{"multiple",#N/A,FALSE,"client";"margins",#N/A,FALSE,"client";"data",#N/A,FALSE,"client"}</definedName>
    <definedName name="wrn.Client3." hidden="1">{"data",#N/A,FALSE,"client (3)";"margins",#N/A,FALSE,"client (3)";"multiple",#N/A,FALSE,"client (3)"}</definedName>
    <definedName name="wrn.client4." hidden="1">{"multiple",#N/A,FALSE,"client (4)";"margins",#N/A,FALSE,"client (4)";"data",#N/A,FALSE,"client (4)"}</definedName>
    <definedName name="wrn.Company._.Analysis." hidden="1">{#N/A,#N/A,TRUE,"Summary LTM";#N/A,#N/A,TRUE,"95-97";#N/A,#N/A,TRUE,"97 US &amp; Peso Sum";#N/A,#N/A,TRUE,"1997 Peso Comparison";#N/A,#N/A,TRUE,"97 IS per store";#N/A,#N/A,TRUE,"96 IS per store";#N/A,#N/A,TRUE,"95 IS per store"}</definedName>
    <definedName name="wrn.Company._Analysis._Split" hidden="1">{#N/A,#N/A,TRUE,"Summary LTM";#N/A,#N/A,TRUE,"95-97";#N/A,#N/A,TRUE,"97 US &amp; Peso Sum";#N/A,#N/A,TRUE,"1997 Peso Comparison";#N/A,#N/A,TRUE,"97 IS per store";#N/A,#N/A,TRUE,"96 IS per store";#N/A,#N/A,TRUE,"95 IS per store"}</definedName>
    <definedName name="wrn.CONSOLIDADO." localSheetId="27" hidden="1">{#N/A,#N/A,FALSE,"CONSOLIDADO"}</definedName>
    <definedName name="wrn.CONSOLIDADO." localSheetId="0" hidden="1">{#N/A,#N/A,FALSE,"CONSOLIDADO"}</definedName>
    <definedName name="wrn.CONSOLIDADO." hidden="1">{#N/A,#N/A,FALSE,"CONSOLIDADO"}</definedName>
    <definedName name="wrn.dcf." hidden="1">{"mgmt forecast",#N/A,FALSE,"Mgmt Forecast";"dcf table",#N/A,FALSE,"Mgmt Forecast";"sensitivity",#N/A,FALSE,"Mgmt Forecast";"table inputs",#N/A,FALSE,"Mgmt Forecast";"calculations",#N/A,FALSE,"Mgmt Forecast"}</definedName>
    <definedName name="wrn.DespesasPorArea." hidden="1">{"TotalGeralDespesasPorArea",#N/A,FALSE,"VinculosAccessEfetivo"}</definedName>
    <definedName name="wrn.divestiture." hidden="1">{#N/A,#N/A,TRUE,"Overview";#N/A,#N/A,TRUE,"Divest Val";#N/A,#N/A,TRUE,"sources &amp; uses";#N/A,#N/A,TRUE,"Has-Gets Divest"}</definedName>
    <definedName name="wrn.ERELIMP." hidden="1">{#N/A,#N/A,FALSE,"FRETADOR";#N/A,#N/A,FALSE,"LOCADOR";#N/A,#N/A,FALSE,"TESPDOR";#N/A,#N/A,FALSE,"UNIDADEDOR"}</definedName>
    <definedName name="wrn.Everything." hidden="1">{#N/A,#N/A,FALSE,"Cover";#N/A,#N/A,FALSE,"Rilke Stand Alone";#N/A,#N/A,FALSE,"Poe Stand Alone";#N/A,#N/A,FALSE,"Poe (Calenderised, EUR)";#N/A,#N/A,FALSE,"Acq Veh (Poe)";#N/A,#N/A,FALSE,"Combined (Rilke_Poe)";#N/A,#N/A,FALSE,"Combined (Rilke_Poe)";#N/A,#N/A,FALSE,"Lincoln Stand Alone";#N/A,#N/A,FALSE,"Lincoln (Calenderised, EUR)";#N/A,#N/A,FALSE,"Combined (Poe_Lincoln)";#N/A,#N/A,FALSE,"Acq Veh (Rilke_Poe_Lincoln)";#N/A,#N/A,FALSE,"Combined (Rilke_Poe_Lincoln)";#N/A,#N/A,FALSE,"Thomas Standalone March";#N/A,#N/A,FALSE,"Thomas (Calenderised, EUR)";#N/A,#N/A,FALSE,"Acq Veh (Thomas)";#N/A,#N/A,FALSE,"Combined (Rilke_Thomas)"}</definedName>
    <definedName name="wrn.EXITO." hidden="1">{#N/A,#N/A,TRUE,"Op. Stats";#N/A,#N/A,TRUE,"New Stores";#N/A,#N/A,TRUE,"LAZARD TOTAL";#N/A,#N/A,TRUE,"Summary IS";#N/A,#N/A,TRUE,"97-LTM-98 Pro Forma";#N/A,#N/A,TRUE,"1997 Reconciliation";#N/A,#N/A,TRUE,"CAPEX &amp; WC";#N/A,#N/A,TRUE,"All Stores DCF Dollars";#N/A,#N/A,TRUE,"Existing DCF";#N/A,#N/A,TRUE,"Region A DCF";#N/A,#N/A,TRUE,"Region B DCF";#N/A,#N/A,TRUE,"APPENDIX";#N/A,#N/A,TRUE,"Total Region IS";#N/A,#N/A,TRUE,"LAZARD MEDELLIN";#N/A,#N/A,TRUE,"LAZARD BOGOTA";#N/A,#N/A,TRUE,"LAZARD CALI";#N/A,#N/A,TRUE,"LAZARD ATLANTICO";#N/A,#N/A,TRUE,"LAZARD OTHER";#N/A,#N/A,TRUE,"Existing IS";#N/A,#N/A,TRUE,"Region A IS";#N/A,#N/A,TRUE,"Region B IS";#N/A,#N/A,TRUE,"Sales Sq. M"}</definedName>
    <definedName name="wrn.FCB." hidden="1">{"FCB_ALL",#N/A,FALSE,"FCB"}</definedName>
    <definedName name="wrn.fcb._dcf" hidden="1">{"FCB_ALL",#N/A,FALSE,"FCB"}</definedName>
    <definedName name="wrn.fcb2" hidden="1">{"FCB_ALL",#N/A,FALSE,"FCB"}</definedName>
    <definedName name="wrn.fcb2_dcf" hidden="1">{"FCB_ALL",#N/A,FALSE,"FCB"}</definedName>
    <definedName name="wrn.Friendly." hidden="1">{#N/A,#N/A,TRUE,"Julio";#N/A,#N/A,TRUE,"Agosto";#N/A,#N/A,TRUE,"BHCo";#N/A,#N/A,TRUE,"Abril";#N/A,#N/A,TRUE,"Pro Forma"}</definedName>
    <definedName name="wrn.Full._.report." hidden="1">{"multiple",#N/A,FALSE,"client (2)";"margins",#N/A,FALSE,"client (2)";"data",#N/A,FALSE,"client (2)";"multiple",#N/A,FALSE,"client";"margins",#N/A,FALSE,"client";"data",#N/A,FALSE,"client"}</definedName>
    <definedName name="wrn.imp." hidden="1">{#N/A,#N/A,FALSE,"NET";#N/A,#N/A,FALSE,"caxi";#N/A,#N/A,FALSE,"nhai";#N/A,#N/A,FALSE,"urui";#N/A,#N/A,FALSE,"cali";#N/A,#N/A,FALSE,"joii";#N/A,#N/A,FALSE,"hol";#N/A,#N/A,FALSE,"poa";#N/A,#N/A,FALSE,"pel";#N/A,#N/A,FALSE,"cha";#N/A,#N/A,FALSE,"rgr";#N/A,#N/A,FALSE,"ere";#N/A,#N/A,FALSE,"scr";#N/A,#N/A,FALSE,"cri";#N/A,#N/A,FALSE,"bag";#N/A,#N/A,FALSE,"pfu";#N/A,#N/A,FALSE,"lit";#N/A,#N/A,FALSE,"mmd";#N/A,#N/A,FALSE,"sma";#N/A,#N/A,FALSE,"btg";#N/A,#N/A,FALSE,"far";#N/A,#N/A,FALSE,"laj";#N/A,#N/A,FALSE,"flo";#N/A,#N/A,FALSE,"076";#N/A,#N/A,FALSE,"iflo";#N/A,#N/A,FALSE,"blu"}</definedName>
    <definedName name="wrn.imp_flx." localSheetId="27" hidden="1">{#N/A,#N/A,FALSE,"CONSOLID";#N/A,#N/A,FALSE,"CIMENTO";#N/A,#N/A,FALSE,"METALURGIA";#N/A,#N/A,FALSE,"PAPEL";#N/A,#N/A,FALSE,"QUÍMICA";#N/A,#N/A,FALSE,"AGROINDL";#N/A,#N/A,FALSE,"OUTROS";#N/A,#N/A,FALSE,"REAL_ORCADO"}</definedName>
    <definedName name="wrn.imp_flx." localSheetId="0" hidden="1">{#N/A,#N/A,FALSE,"CONSOLID";#N/A,#N/A,FALSE,"CIMENTO";#N/A,#N/A,FALSE,"METALURGIA";#N/A,#N/A,FALSE,"PAPEL";#N/A,#N/A,FALSE,"QUÍMICA";#N/A,#N/A,FALSE,"AGROINDL";#N/A,#N/A,FALSE,"OUTROS";#N/A,#N/A,FALSE,"REAL_ORCADO"}</definedName>
    <definedName name="wrn.imp_flx." hidden="1">{#N/A,#N/A,FALSE,"CONSOLID";#N/A,#N/A,FALSE,"CIMENTO";#N/A,#N/A,FALSE,"METALURGIA";#N/A,#N/A,FALSE,"PAPEL";#N/A,#N/A,FALSE,"QUÍMICA";#N/A,#N/A,FALSE,"AGROINDL";#N/A,#N/A,FALSE,"OUTROS";#N/A,#N/A,FALSE,"REAL_ORCADO"}</definedName>
    <definedName name="wrn.IMPRE." hidden="1">{#N/A,#N/A,FALSE,"GERAL";#N/A,#N/A,FALSE,"LOCAÇÃO";#N/A,#N/A,FALSE,"FRETAMENTO";#N/A,#N/A,FALSE,"CARRETAS"}</definedName>
    <definedName name="wrn.impresión." localSheetId="27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" localSheetId="0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" localSheetId="26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1" localSheetId="27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1" localSheetId="0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1" localSheetId="26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SO." localSheetId="27" hidden="1">{#N/A,#N/A,FALSE,"Plan1";#N/A,#N/A,FALSE,"Plan2"}</definedName>
    <definedName name="wrn.IMPRESSO." localSheetId="0" hidden="1">{#N/A,#N/A,FALSE,"Plan1";#N/A,#N/A,FALSE,"Plan2"}</definedName>
    <definedName name="wrn.IMPRESSO." hidden="1">{#N/A,#N/A,FALSE,"Plan1";#N/A,#N/A,FALSE,"Plan2"}</definedName>
    <definedName name="wrn.Imprimir." localSheetId="27" hidden="1">{"tabela",#N/A,FALSE,"Tabela";"decoração",#N/A,FALSE,"Decor.";"Informações",#N/A,FALSE,"Inform."}</definedName>
    <definedName name="wrn.Imprimir." localSheetId="0" hidden="1">{"tabela",#N/A,FALSE,"Tabela";"decoração",#N/A,FALSE,"Decor.";"Informações",#N/A,FALSE,"Inform."}</definedName>
    <definedName name="wrn.Imprimir." hidden="1">{"tabela",#N/A,FALSE,"Tabela";"decoração",#N/A,FALSE,"Decor.";"Informações",#N/A,FALSE,"Inform."}</definedName>
    <definedName name="wrn.Model." localSheetId="27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wrn.Model." localSheetId="0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wrn.Model.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wrn.new." hidden="1">{#N/A,#N/A,FALSE,"Impl";#N/A,#N/A,FALSE,"sum";#N/A,#N/A,FALSE,"cat";#N/A,#N/A,FALSE,"cum";#N/A,#N/A,FALSE,"varity";#N/A,#N/A,FALSE,"ddc";#N/A,#N/A,FALSE,"man";#N/A,#N/A,FALSE,"metra";#N/A,#N/A,FALSE,"volvo"}</definedName>
    <definedName name="wrn.OPP." localSheetId="27" hidden="1">{#N/A,#N/A,FALSE,"Brazil Summary";#N/A,#N/A,FALSE,"SEA CIF Summary";#N/A,#N/A,FALSE,"USGC Contract";#N/A,#N/A,FALSE,"USGC Spot";#N/A,#N/A,FALSE,"Brazil Base Cycle ";#N/A,#N/A,FALSE,"Brazil Base Trend";#N/A,#N/A,FALSE,"Brazil Low Cycle";#N/A,#N/A,FALSE,"Brazil Low Trend";#N/A,#N/A,FALSE,"Variables"}</definedName>
    <definedName name="wrn.OPP." localSheetId="0" hidden="1">{#N/A,#N/A,FALSE,"Brazil Summary";#N/A,#N/A,FALSE,"SEA CIF Summary";#N/A,#N/A,FALSE,"USGC Contract";#N/A,#N/A,FALSE,"USGC Spot";#N/A,#N/A,FALSE,"Brazil Base Cycle ";#N/A,#N/A,FALSE,"Brazil Base Trend";#N/A,#N/A,FALSE,"Brazil Low Cycle";#N/A,#N/A,FALSE,"Brazil Low Trend";#N/A,#N/A,FALSE,"Variables"}</definedName>
    <definedName name="wrn.OPP." hidden="1">{#N/A,#N/A,FALSE,"Brazil Summary";#N/A,#N/A,FALSE,"SEA CIF Summary";#N/A,#N/A,FALSE,"USGC Contract";#N/A,#N/A,FALSE,"USGC Spot";#N/A,#N/A,FALSE,"Brazil Base Cycle ";#N/A,#N/A,FALSE,"Brazil Base Trend";#N/A,#N/A,FALSE,"Brazil Low Cycle";#N/A,#N/A,FALSE,"Brazil Low Trend";#N/A,#N/A,FALSE,"Variables"}</definedName>
    <definedName name="wrn.PL." hidden="1">{"20 Years",#N/A,FALSE,"P&amp;Ls";"2001",#N/A,FALSE,"P&amp;Ls"}</definedName>
    <definedName name="wrn.Poe." hidden="1">{#N/A,#N/A,FALSE,"Poe Stand Alone";#N/A,#N/A,FALSE,"Poe (Calenderised, EUR)"}</definedName>
    <definedName name="wrn.prices." hidden="1">{#N/A,#N/A,TRUE,"BANAMEX";#N/A,#N/A,TRUE,"CGT";#N/A,#N/A,TRUE,"ALFA";#N/A,#N/A,TRUE,"ICA (2)"}</definedName>
    <definedName name="wrn.print._.graphs." hidden="1">{"cap_structure",#N/A,FALSE,"Graph-Mkt Cap";"price",#N/A,FALSE,"Graph-Price";"ebit",#N/A,FALSE,"Graph-EBITDA";"ebitda",#N/A,FALSE,"Graph-EBITDA"}</definedName>
    <definedName name="wrn.print._.raw._.data._.entry." hidden="1">{"inputs raw data",#N/A,TRUE,"INPUT"}</definedName>
    <definedName name="wrn.print._.raw._data._.entry2." hidden="1">{"inputs raw data",#N/A,TRUE,"INPUT"}</definedName>
    <definedName name="wrn.print._.summary._.sheets." hidden="1">{"summary1",#N/A,TRUE,"Comps";"summary2",#N/A,TRUE,"Comps";"summary3",#N/A,TRUE,"Comps"}</definedName>
    <definedName name="wrn.print._.summary._.sheets.2" hidden="1">{"summary1",#N/A,TRUE,"Comps";"summary2",#N/A,TRUE,"Comps";"summary3",#N/A,TRUE,"Comps"}</definedName>
    <definedName name="wrn.Print_Buyer." hidden="1">{#N/A,"DR",FALSE,"increm pf";#N/A,"MAMSI",FALSE,"increm pf";#N/A,"MAXI",FALSE,"increm pf";#N/A,"PCAM",FALSE,"increm pf";#N/A,"PHSV",FALSE,"increm pf";#N/A,"SIE",FALSE,"increm pf"}</definedName>
    <definedName name="wrn.Print_Target." hidden="1">{#N/A,"Foundation Health",FALSE,"increm pf";#N/A,"FHP International",FALSE,"increm pf";#N/A,"Healthsource",FALSE,"increm pf";#N/A,"Humana",FALSE,"increm pf";#N/A,"Oxford Health Plans",FALSE,"increm pf";#N/A,"PacifiCare",FALSE,"increm pf";#N/A,"United HealthCare",FALSE,"increm pf";#N/A,"U.S. Healthcare",FALSE,"increm pf";#N/A,"Value Health",FALSE,"increm pf";#N/A,"WellPoint",FALSE,"increm pf"}</definedName>
    <definedName name="wrn.Relatório._.Resumido." hidden="1">{#N/A,#N/A,FALSE,"GP";#N/A,#N/A,FALSE,"Assinantes";#N/A,#N/A,FALSE,"Rede";#N/A,#N/A,FALSE,"Evolução";#N/A,#N/A,FALSE,"Resultado"}</definedName>
    <definedName name="wrn.Scenario._.Summary." hidden="1">{#N/A,#N/A,TRUE,"Summary";#N/A,"1",TRUE,"Summary";#N/A,"2",TRUE,"Summary";#N/A,"3",TRUE,"Summary";#N/A,"4",TRUE,"Summary";#N/A,"5",TRUE,"Summary";#N/A,"6",TRUE,"Summary";#N/A,"7",TRUE,"Summary";#N/A,"8",TRUE,"Summary";#N/A,"9",TRUE,"Summary";#N/A,"10",TRUE,"Summary";#N/A,"11",TRUE,"Summary"}</definedName>
    <definedName name="wrn.sdofinanceiro." localSheetId="27" hidden="1">{#N/A,#N/A,FALSE,"CONSOLIDADO";#N/A,#N/A,FALSE,"CIMENTO";#N/A,#N/A,FALSE,"METALURGIA";#N/A,#N/A,FALSE,"PAPEL";#N/A,#N/A,FALSE,"QUIMICA";#N/A,#N/A,FALSE,"AGROINDÚSTRIA";#N/A,#N/A,FALSE,"VINTERNACIONAL"}</definedName>
    <definedName name="wrn.sdofinanceiro." localSheetId="0" hidden="1">{#N/A,#N/A,FALSE,"CONSOLIDADO";#N/A,#N/A,FALSE,"CIMENTO";#N/A,#N/A,FALSE,"METALURGIA";#N/A,#N/A,FALSE,"PAPEL";#N/A,#N/A,FALSE,"QUIMICA";#N/A,#N/A,FALSE,"AGROINDÚSTRIA";#N/A,#N/A,FALSE,"VINTERNACIONAL"}</definedName>
    <definedName name="wrn.sdofinanceiro." hidden="1">{#N/A,#N/A,FALSE,"CONSOLIDADO";#N/A,#N/A,FALSE,"CIMENTO";#N/A,#N/A,FALSE,"METALURGIA";#N/A,#N/A,FALSE,"PAPEL";#N/A,#N/A,FALSE,"QUIMICA";#N/A,#N/A,FALSE,"AGROINDÚSTRIA";#N/A,#N/A,FALSE,"VINTERNACIONAL"}</definedName>
    <definedName name="wrn.STAND_ALONE_BOTH." hidden="1">{"FCB_ALL",#N/A,FALSE,"FCB";"GREY_ALL",#N/A,FALSE,"GREY"}</definedName>
    <definedName name="wrn.Stand_alone_both._dcf" hidden="1">{"FCB_ALL",#N/A,FALSE,"FCB";"GREY_ALL",#N/A,FALSE,"GREY"}</definedName>
    <definedName name="wrn.stay" hidden="1">{"summary1",#N/A,TRUE,"Comps";"summary2",#N/A,TRUE,"Comps";"summary3",#N/A,TRUE,"Comps"}</definedName>
    <definedName name="wrn.totalcomp." hidden="1">{"comp1",#N/A,FALSE,"COMPS";"footnotes",#N/A,FALSE,"COMPS"}</definedName>
    <definedName name="wrn.TUDO." localSheetId="27" hidden="1">{#N/A,#N/A,FALSE,"CONSMET";#N/A,#N/A,FALSE,"CBA";#N/A,#N/A,FALSE,"CMM";#N/A,#N/A,FALSE,"NIQUELTO";#N/A,#N/A,FALSE,"SBMANSA";#N/A,#N/A,FALSE,"ATLAS";#N/A,#N/A,FALSE,"STACRUZ";#N/A,#N/A,FALSE,"PIRAT"}</definedName>
    <definedName name="wrn.TUDO." localSheetId="0" hidden="1">{#N/A,#N/A,FALSE,"CONSMET";#N/A,#N/A,FALSE,"CBA";#N/A,#N/A,FALSE,"CMM";#N/A,#N/A,FALSE,"NIQUELTO";#N/A,#N/A,FALSE,"SBMANSA";#N/A,#N/A,FALSE,"ATLAS";#N/A,#N/A,FALSE,"STACRUZ";#N/A,#N/A,FALSE,"PIRAT"}</definedName>
    <definedName name="wrn.TUDO." hidden="1">{#N/A,#N/A,FALSE,"CONSMET";#N/A,#N/A,FALSE,"CBA";#N/A,#N/A,FALSE,"CMM";#N/A,#N/A,FALSE,"NIQUELTO";#N/A,#N/A,FALSE,"SBMANSA";#N/A,#N/A,FALSE,"ATLAS";#N/A,#N/A,FALSE,"STACRUZ";#N/A,#N/A,FALSE,"PIRAT"}</definedName>
    <definedName name="wrn.VENTAS." localSheetId="27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" localSheetId="0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" localSheetId="26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1" localSheetId="27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1" localSheetId="0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1" localSheetId="26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Whole._.Pack." hidden="1">{"Board Income Statement",#N/A,FALSE,"Board Summary";"Board Balance Sheet",#N/A,FALSE,"Board Summary";"Board Cash Flow",#N/A,FALSE,"Board Summary";"Op Cap Startup",#N/A,FALSE,"Operating-Startup Expense (2)";"Total Salary",#N/A,FALSE,"Operating-Startup Expense (2)";"Op Salary",#N/A,FALSE,"Operating-Startup Expense (2)";"Cap Salary",#N/A,FALSE,"Operating-Startup Expense (2)";"Startup Salary",#N/A,FALSE,"Operating-Startup Expense (2)";#N/A,#N/A,FALSE,"Advertising &amp; Promotion (2)";#N/A,#N/A,FALSE,"G&amp;A (2)";#N/A,#N/A,FALSE,"Billings (2)";#N/A,#N/A,FALSE,"Travel (2)";#N/A,#N/A,FALSE,"Comms Cost (2)";#N/A,#N/A,FALSE,"CAPEX (3)";#N/A,#N/A,FALSE,"CAPEX (2)"}</definedName>
    <definedName name="wrn.wpoall." hidden="1">{"wpocash",#N/A,FALSE,"WPOALLT";"wpoinc",#N/A,FALSE,"WPOALLT";"wpobroad",#N/A,FALSE,"WPOALLT";"wpocable",#N/A,FALSE,"WPOALLT";"wpoexcl",#N/A,FALSE,"WPOALLT";"wponwsweek",#N/A,FALSE,"WPOALLT";"wpopost",#N/A,FALSE,"WPOALLT"}</definedName>
    <definedName name="ws" localSheetId="27">#REF!</definedName>
    <definedName name="ws">#REF!</definedName>
    <definedName name="wsa">#N/A</definedName>
    <definedName name="wvu.inputs._.raw._.data.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PLANILHA2." localSheetId="27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wvu.PLANILHA2." localSheetId="0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wvu.PLANILHA2.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wvu.Print_Todo." localSheetId="27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u.Print_Todo." localSheetId="0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u.Print_Todo." localSheetId="26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u.Print_Todo.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u.Socios._.95." localSheetId="27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vu.Socios._.95." localSheetId="0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vu.Socios._.95." localSheetId="26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vu.Socios._.95.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vu.summary1.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2.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3.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vu.summary4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vu.summary4.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6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w" localSheetId="27" hidden="1">{#N/A,#N/A,FALSE,"Aging Summary";#N/A,#N/A,FALSE,"Ratio Analysis";#N/A,#N/A,FALSE,"Test 120 Day Accts";#N/A,#N/A,FALSE,"Tickmarks"}</definedName>
    <definedName name="ww" localSheetId="0" hidden="1">{#N/A,#N/A,FALSE,"Aging Summary";#N/A,#N/A,FALSE,"Ratio Analysis";#N/A,#N/A,FALSE,"Test 120 Day Accts";#N/A,#N/A,FALSE,"Tickmarks"}</definedName>
    <definedName name="ww" hidden="1">{#N/A,#N/A,FALSE,"Aging Summary";#N/A,#N/A,FALSE,"Ratio Analysis";#N/A,#N/A,FALSE,"Test 120 Day Accts";#N/A,#N/A,FALSE,"Tickmarks"}</definedName>
    <definedName name="wwq">#N/A</definedName>
    <definedName name="wwqq">#N/A</definedName>
    <definedName name="wwqqww">#N/A</definedName>
    <definedName name="www" localSheetId="27" hidden="1">{#N/A,#N/A,FALSE,"Plan1";#N/A,#N/A,FALSE,"Plan2"}</definedName>
    <definedName name="www" localSheetId="0" hidden="1">{#N/A,#N/A,FALSE,"Plan1";#N/A,#N/A,FALSE,"Plan2"}</definedName>
    <definedName name="www" hidden="1">{#N/A,#N/A,FALSE,"Plan1";#N/A,#N/A,FALSE,"Plan2"}</definedName>
    <definedName name="wwww">#N/A</definedName>
    <definedName name="wwwww">#REF!</definedName>
    <definedName name="wwwwww">#N/A</definedName>
    <definedName name="wwwwwwww">#N/A</definedName>
    <definedName name="wwwwwwwwwwwww" localSheetId="27" hidden="1">#REF!</definedName>
    <definedName name="wwwwwwwwwwwww" localSheetId="0" hidden="1">#REF!</definedName>
    <definedName name="wwwwwwwwwwwww" hidden="1">#REF!</definedName>
    <definedName name="x">#N/A</definedName>
    <definedName name="xc" localSheetId="27">#REF!</definedName>
    <definedName name="xc">#REF!</definedName>
    <definedName name="XCFV" localSheetId="27" hidden="1">{#N/A,#N/A,FALSE,"Plan1";#N/A,#N/A,FALSE,"Plan2"}</definedName>
    <definedName name="XCFV" localSheetId="0" hidden="1">{#N/A,#N/A,FALSE,"Plan1";#N/A,#N/A,FALSE,"Plan2"}</definedName>
    <definedName name="XCFV" hidden="1">{#N/A,#N/A,FALSE,"Plan1";#N/A,#N/A,FALSE,"Plan2"}</definedName>
    <definedName name="XCV" localSheetId="27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XCV" localSheetId="0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XCV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XCXZ">recuperação #REF!</definedName>
    <definedName name="xfgnfgh" localSheetId="27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fgnfgh" localSheetId="0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fgnfgh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">#REF!</definedName>
    <definedName name="xxwdw" localSheetId="27" hidden="1">#REF!</definedName>
    <definedName name="xxwdw" localSheetId="0" hidden="1">#REF!</definedName>
    <definedName name="xxwdw" hidden="1">#REF!</definedName>
    <definedName name="xxx" localSheetId="27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xxx" localSheetId="0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xxx" localSheetId="26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xxx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xxxx" localSheetId="27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xxxx" localSheetId="0" hidden="1">{TRUE,TRUE,-1.25,-15.5,604.5,366.75,FALSE,FALSE,TRUE,TRUE,0,1,#N/A,1,#N/A,9.0125,24.4117647058824,1,FALSE,FALSE,3,TRUE,1,FALSE,100,"Swvu.PLANILHA2.","ACwvu.PLANILHA2.",#N/A,FALSE,FALSE,0.787401575,0.34,0.46,0.5,1,"","",FALSE,FALSE,FALSE,FALSE,1,#N/A,1,1,FALSE,FALSE,#N/A,#N/A,FALSE,FALSE,FALSE,9,65532,65532,FALSE,FALSE,TRUE,TRUE,TRUE}</definedName>
    <definedName name="xxxx" localSheetId="26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xx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xxxxxxx" localSheetId="27" hidden="1">#REF!</definedName>
    <definedName name="xxxxxxxxx" localSheetId="0" hidden="1">#REF!</definedName>
    <definedName name="xxxxxxxxx" hidden="1">#REF!</definedName>
    <definedName name="xxxxxxxxxxx" localSheetId="27" hidden="1">#REF!</definedName>
    <definedName name="xxxxxxxxxxx" localSheetId="0" hidden="1">#REF!</definedName>
    <definedName name="xxxxxxxxxxx" hidden="1">#REF!</definedName>
    <definedName name="xxxxxxxxxxxs" localSheetId="27" hidden="1">#REF!</definedName>
    <definedName name="xxxxxxxxxxxs" localSheetId="0" hidden="1">#REF!</definedName>
    <definedName name="xxxxxxxxxxxs" hidden="1">#REF!</definedName>
    <definedName name="xzc\z" localSheetId="0" hidden="1">#REF!</definedName>
    <definedName name="xzc\z" hidden="1">#REF!</definedName>
    <definedName name="y">#N/A</definedName>
    <definedName name="Year">#REF!</definedName>
    <definedName name="yt">#N/A</definedName>
    <definedName name="yterytr" localSheetId="27" hidden="1">#REF!</definedName>
    <definedName name="yterytr" localSheetId="0" hidden="1">#REF!</definedName>
    <definedName name="yterytr" hidden="1">#REF!</definedName>
    <definedName name="ytyt">#N/A</definedName>
    <definedName name="ytytyt">#N/A</definedName>
    <definedName name="yy" localSheetId="27" hidden="1">{#N/A,#N/A,FALSE,"Plan1";#N/A,#N/A,FALSE,"Plan2"}</definedName>
    <definedName name="yy" localSheetId="0" hidden="1">{#N/A,#N/A,FALSE,"Plan1";#N/A,#N/A,FALSE,"Plan2"}</definedName>
    <definedName name="yy" hidden="1">{#N/A,#N/A,FALSE,"Plan1";#N/A,#N/A,FALSE,"Plan2"}</definedName>
    <definedName name="yyy" localSheetId="27" hidden="1">{#N/A,#N/A,FALSE,"Plan1";#N/A,#N/A,FALSE,"Plan2"}</definedName>
    <definedName name="yyy" localSheetId="0" hidden="1">{#N/A,#N/A,FALSE,"Plan1";#N/A,#N/A,FALSE,"Plan2"}</definedName>
    <definedName name="yyy" hidden="1">{#N/A,#N/A,FALSE,"Plan1";#N/A,#N/A,FALSE,"Plan2"}</definedName>
    <definedName name="yyyy">#N/A</definedName>
    <definedName name="yyyyy" localSheetId="27" hidden="1">{#N/A,#N/A,FALSE,"Plan1";#N/A,#N/A,FALSE,"Plan2"}</definedName>
    <definedName name="yyyyy" localSheetId="0" hidden="1">{#N/A,#N/A,FALSE,"Plan1";#N/A,#N/A,FALSE,"Plan2"}</definedName>
    <definedName name="yyyyy" hidden="1">{#N/A,#N/A,FALSE,"Plan1";#N/A,#N/A,FALSE,"Plan2"}</definedName>
    <definedName name="yyyyyy">#N/A</definedName>
    <definedName name="yyyyyyyy">#N/A</definedName>
    <definedName name="yyyyyyyyyyyyyy" localSheetId="27" hidden="1">#REF!</definedName>
    <definedName name="yyyyyyyyyyyyyy" localSheetId="0" hidden="1">#REF!</definedName>
    <definedName name="yyyyyyyyyyyyyy" hidden="1">#REF!</definedName>
    <definedName name="yyyyyyyyyyyyyyt" localSheetId="27" hidden="1">#REF!</definedName>
    <definedName name="yyyyyyyyyyyyyyt" localSheetId="0" hidden="1">#REF!</definedName>
    <definedName name="yyyyyyyyyyyyyyt" hidden="1">#REF!</definedName>
    <definedName name="Z_9728E282_0F6C_11D3_BD8A_000021691BF2_.wvu.FilterData" hidden="1">#REF!</definedName>
    <definedName name="Z_9AD9F8EC_02C7_11D3_8AD4_002035336BE0_.wvu.PrintTitles" localSheetId="27" hidden="1">#REF!</definedName>
    <definedName name="Z_9AD9F8EC_02C7_11D3_8AD4_002035336BE0_.wvu.PrintTitles" localSheetId="0" hidden="1">#REF!</definedName>
    <definedName name="Z_9AD9F8EC_02C7_11D3_8AD4_002035336BE0_.wvu.PrintTitles" hidden="1">#REF!</definedName>
    <definedName name="zcd">#REF!</definedName>
    <definedName name="zdfvsd" localSheetId="27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zdfvsd" localSheetId="0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zdfvsd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ZEROFIN.DESPFIN">#N/A</definedName>
    <definedName name="ZEROFIN.ZEROFIN">#N/A</definedName>
    <definedName name="zerofin1">#N/A</definedName>
    <definedName name="zvvczvcx" localSheetId="27" hidden="1">#REF!</definedName>
    <definedName name="zvvczvcx" localSheetId="0" hidden="1">#REF!</definedName>
    <definedName name="zvvczvcx" hidden="1">#REF!</definedName>
    <definedName name="zxc\xcz" localSheetId="27">#REF!</definedName>
    <definedName name="zxc\xcz">#REF!</definedName>
    <definedName name="zxc\zxc\xc" localSheetId="27">#REF!</definedName>
    <definedName name="zxc\zxc\xc">#REF!</definedName>
    <definedName name="ZXD" localSheetId="27" hidden="1">{#N/A,#N/A,FALSE,"Plan1";#N/A,#N/A,FALSE,"Plan2"}</definedName>
    <definedName name="ZXD" localSheetId="0" hidden="1">{#N/A,#N/A,FALSE,"Plan1";#N/A,#N/A,FALSE,"Plan2"}</definedName>
    <definedName name="ZXD" hidden="1">{#N/A,#N/A,FALSE,"Plan1";#N/A,#N/A,FALSE,"Plan2"}</definedName>
    <definedName name="zzzzzzz" localSheetId="27" hidden="1">#REF!</definedName>
    <definedName name="zzzzzzz" localSheetId="0" hidden="1">#REF!</definedName>
    <definedName name="zzzzzzz" hidden="1">#REF!</definedName>
    <definedName name="zzzzzzzzz" localSheetId="27" hidden="1">#REF!</definedName>
    <definedName name="zzzzzzzzz" localSheetId="0" hidden="1">#REF!</definedName>
    <definedName name="zzzzzzzzz" hidden="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40" i="51" l="1"/>
  <c r="DM21" i="51"/>
  <c r="DK21" i="51"/>
  <c r="DH21" i="51"/>
  <c r="DG21" i="51"/>
  <c r="DI21" i="51" s="1"/>
  <c r="DK18" i="51"/>
  <c r="DM18" i="51" s="1"/>
  <c r="DK17" i="51"/>
  <c r="DM17" i="51" s="1"/>
  <c r="DK16" i="51"/>
  <c r="DM16" i="51" s="1"/>
  <c r="DK15" i="51"/>
  <c r="DM15" i="51" s="1"/>
  <c r="DM14" i="51"/>
  <c r="DK14" i="51"/>
  <c r="DK13" i="51"/>
  <c r="DM13" i="51" s="1"/>
  <c r="DK12" i="51"/>
  <c r="DM12" i="51" s="1"/>
  <c r="DK11" i="51"/>
  <c r="DM11" i="51" s="1"/>
  <c r="DK10" i="51"/>
  <c r="DM10" i="51" s="1"/>
  <c r="DK9" i="51"/>
  <c r="DM9" i="51" s="1"/>
  <c r="DI10" i="51"/>
  <c r="DI11" i="51"/>
  <c r="DI12" i="51"/>
  <c r="DI13" i="51"/>
  <c r="DI14" i="51"/>
  <c r="DI15" i="51"/>
  <c r="DI16" i="51"/>
  <c r="DI17" i="51"/>
  <c r="DI18" i="51"/>
  <c r="DI9" i="51"/>
  <c r="DH18" i="51"/>
  <c r="DH17" i="51"/>
  <c r="DH16" i="51"/>
  <c r="DH15" i="51"/>
  <c r="DH14" i="51"/>
  <c r="DH13" i="51"/>
  <c r="DH12" i="51"/>
  <c r="DH11" i="51"/>
  <c r="DH10" i="51"/>
  <c r="DH9" i="51"/>
  <c r="DB19" i="51"/>
  <c r="DD19" i="51" s="1"/>
  <c r="DB20" i="51"/>
  <c r="DD20" i="51" s="1"/>
  <c r="CZ19" i="51"/>
  <c r="CZ20" i="51"/>
  <c r="D6" i="67" l="1"/>
  <c r="E32" i="67"/>
  <c r="J32" i="67" s="1"/>
  <c r="E33" i="67"/>
  <c r="J33" i="67" s="1"/>
  <c r="E34" i="67"/>
  <c r="J34" i="67" s="1"/>
  <c r="D26" i="67"/>
  <c r="D27" i="67"/>
  <c r="D28" i="67"/>
  <c r="D29" i="67"/>
  <c r="D30" i="67"/>
  <c r="D31" i="67"/>
  <c r="D32" i="67"/>
  <c r="D33" i="67"/>
  <c r="D34" i="67"/>
  <c r="D25" i="67"/>
  <c r="R45" i="5"/>
  <c r="S45" i="5"/>
  <c r="T45" i="5"/>
  <c r="U45" i="5"/>
  <c r="V45" i="5"/>
  <c r="W45" i="5"/>
  <c r="X45" i="5"/>
  <c r="Y45" i="5"/>
  <c r="Z45" i="5"/>
  <c r="AA45" i="5"/>
  <c r="AB45" i="5"/>
  <c r="AC45" i="5"/>
  <c r="AD45" i="5"/>
  <c r="AE45" i="5"/>
  <c r="AF45" i="5"/>
  <c r="AG45" i="5"/>
  <c r="AH45" i="5"/>
  <c r="AI45" i="5"/>
  <c r="AJ45" i="5"/>
  <c r="AK45" i="5"/>
  <c r="AL45" i="5"/>
  <c r="Q45" i="5"/>
  <c r="P45" i="5"/>
  <c r="O45" i="5"/>
  <c r="R74" i="45"/>
  <c r="T36" i="64"/>
  <c r="T35" i="64"/>
  <c r="U35" i="64" s="1"/>
  <c r="N511" i="64"/>
  <c r="N512" i="64"/>
  <c r="N513" i="64"/>
  <c r="N514" i="64"/>
  <c r="N515" i="64"/>
  <c r="N516" i="64"/>
  <c r="N517" i="64"/>
  <c r="N518" i="64"/>
  <c r="N519" i="64"/>
  <c r="N520" i="64"/>
  <c r="N521" i="64"/>
  <c r="N522" i="64"/>
  <c r="N523" i="64"/>
  <c r="N524" i="64"/>
  <c r="N525" i="64"/>
  <c r="J439" i="44"/>
  <c r="J440" i="44"/>
  <c r="J441" i="44"/>
  <c r="J442" i="44"/>
  <c r="J443" i="44"/>
  <c r="J444" i="44"/>
  <c r="J445" i="44"/>
  <c r="J446" i="44"/>
  <c r="J447" i="44"/>
  <c r="M29" i="64"/>
  <c r="M30" i="64"/>
  <c r="M31" i="64"/>
  <c r="M32" i="64"/>
  <c r="M33" i="64"/>
  <c r="M34" i="64"/>
  <c r="M35" i="64"/>
  <c r="M36" i="64"/>
  <c r="M37" i="64"/>
  <c r="M38" i="64"/>
  <c r="M39" i="64"/>
  <c r="M40" i="64"/>
  <c r="M41" i="64"/>
  <c r="M42" i="64"/>
  <c r="M43" i="64"/>
  <c r="M44" i="64"/>
  <c r="M45" i="64"/>
  <c r="M46" i="64"/>
  <c r="M47" i="64"/>
  <c r="M48" i="64"/>
  <c r="M49" i="64"/>
  <c r="M50" i="64"/>
  <c r="M51" i="64"/>
  <c r="M52" i="64"/>
  <c r="M53" i="64"/>
  <c r="M54" i="64"/>
  <c r="M55" i="64"/>
  <c r="M56" i="64"/>
  <c r="M57" i="64"/>
  <c r="M58" i="64"/>
  <c r="M59" i="64"/>
  <c r="M60" i="64"/>
  <c r="M61" i="64"/>
  <c r="M62" i="64"/>
  <c r="M63" i="64"/>
  <c r="M64" i="64"/>
  <c r="M65" i="64"/>
  <c r="M66" i="64"/>
  <c r="M67" i="64"/>
  <c r="M68" i="64"/>
  <c r="M69" i="64"/>
  <c r="M70" i="64"/>
  <c r="M71" i="64"/>
  <c r="M72" i="64"/>
  <c r="M73" i="64"/>
  <c r="M74" i="64"/>
  <c r="M75" i="64"/>
  <c r="M76" i="64"/>
  <c r="M77" i="64"/>
  <c r="M78" i="64"/>
  <c r="M79" i="64"/>
  <c r="M80" i="64"/>
  <c r="M81" i="64"/>
  <c r="M82" i="64"/>
  <c r="M83" i="64"/>
  <c r="M84" i="64"/>
  <c r="M85" i="64"/>
  <c r="M86" i="64"/>
  <c r="M87" i="64"/>
  <c r="M88" i="64"/>
  <c r="M89" i="64"/>
  <c r="M90" i="64"/>
  <c r="M91" i="64"/>
  <c r="M92" i="64"/>
  <c r="M93" i="64"/>
  <c r="M94" i="64"/>
  <c r="M95" i="64"/>
  <c r="M96" i="64"/>
  <c r="M97" i="64"/>
  <c r="M98" i="64"/>
  <c r="M99" i="64"/>
  <c r="M100" i="64"/>
  <c r="M101" i="64"/>
  <c r="M102" i="64"/>
  <c r="M103" i="64"/>
  <c r="M104" i="64"/>
  <c r="M105" i="64"/>
  <c r="M106" i="64"/>
  <c r="M107" i="64"/>
  <c r="M108" i="64"/>
  <c r="M109" i="64"/>
  <c r="M110" i="64"/>
  <c r="M111" i="64"/>
  <c r="M112" i="64"/>
  <c r="M113" i="64"/>
  <c r="M114" i="64"/>
  <c r="M115" i="64"/>
  <c r="M116" i="64"/>
  <c r="M117" i="64"/>
  <c r="M118" i="64"/>
  <c r="M119" i="64"/>
  <c r="M120" i="64"/>
  <c r="M121" i="64"/>
  <c r="M122" i="64"/>
  <c r="M123" i="64"/>
  <c r="M124" i="64"/>
  <c r="M125" i="64"/>
  <c r="M126" i="64"/>
  <c r="M127" i="64"/>
  <c r="M128" i="64"/>
  <c r="M129" i="64"/>
  <c r="M130" i="64"/>
  <c r="M131" i="64"/>
  <c r="M132" i="64"/>
  <c r="M133" i="64"/>
  <c r="M134" i="64"/>
  <c r="M135" i="64"/>
  <c r="M136" i="64"/>
  <c r="M137" i="64"/>
  <c r="M138" i="64"/>
  <c r="M139" i="64"/>
  <c r="M140" i="64"/>
  <c r="M141" i="64"/>
  <c r="M142" i="64"/>
  <c r="M143" i="64"/>
  <c r="M144" i="64"/>
  <c r="M145" i="64"/>
  <c r="M146" i="64"/>
  <c r="M147" i="64"/>
  <c r="M148" i="64"/>
  <c r="M149" i="64"/>
  <c r="M150" i="64"/>
  <c r="M151" i="64"/>
  <c r="M152" i="64"/>
  <c r="M153" i="64"/>
  <c r="M154" i="64"/>
  <c r="M155" i="64"/>
  <c r="M156" i="64"/>
  <c r="M157" i="64"/>
  <c r="M158" i="64"/>
  <c r="M159" i="64"/>
  <c r="M160" i="64"/>
  <c r="M161" i="64"/>
  <c r="M162" i="64"/>
  <c r="M163" i="64"/>
  <c r="M164" i="64"/>
  <c r="M165" i="64"/>
  <c r="M166" i="64"/>
  <c r="M167" i="64"/>
  <c r="M168" i="64"/>
  <c r="M169" i="64"/>
  <c r="M170" i="64"/>
  <c r="M171" i="64"/>
  <c r="M172" i="64"/>
  <c r="M173" i="64"/>
  <c r="M174" i="64"/>
  <c r="M175" i="64"/>
  <c r="M176" i="64"/>
  <c r="M177" i="64"/>
  <c r="M178" i="64"/>
  <c r="M179" i="64"/>
  <c r="M180" i="64"/>
  <c r="M181" i="64"/>
  <c r="M182" i="64"/>
  <c r="M183" i="64"/>
  <c r="M184" i="64"/>
  <c r="M185" i="64"/>
  <c r="M186" i="64"/>
  <c r="M187" i="64"/>
  <c r="M188" i="64"/>
  <c r="M189" i="64"/>
  <c r="M190" i="64"/>
  <c r="M191" i="64"/>
  <c r="M192" i="64"/>
  <c r="M193" i="64"/>
  <c r="M194" i="64"/>
  <c r="M195" i="64"/>
  <c r="M196" i="64"/>
  <c r="M197" i="64"/>
  <c r="M198" i="64"/>
  <c r="M199" i="64"/>
  <c r="M200" i="64"/>
  <c r="M201" i="64"/>
  <c r="M202" i="64"/>
  <c r="M203" i="64"/>
  <c r="M204" i="64"/>
  <c r="M205" i="64"/>
  <c r="M206" i="64"/>
  <c r="M207" i="64"/>
  <c r="M208" i="64"/>
  <c r="M209" i="64"/>
  <c r="M210" i="64"/>
  <c r="M211" i="64"/>
  <c r="M212" i="64"/>
  <c r="M213" i="64"/>
  <c r="M214" i="64"/>
  <c r="M215" i="64"/>
  <c r="M216" i="64"/>
  <c r="M217" i="64"/>
  <c r="M218" i="64"/>
  <c r="M219" i="64"/>
  <c r="M220" i="64"/>
  <c r="M221" i="64"/>
  <c r="M222" i="64"/>
  <c r="M223" i="64"/>
  <c r="M224" i="64"/>
  <c r="M225" i="64"/>
  <c r="M226" i="64"/>
  <c r="M227" i="64"/>
  <c r="M228" i="64"/>
  <c r="M229" i="64"/>
  <c r="M230" i="64"/>
  <c r="M231" i="64"/>
  <c r="M232" i="64"/>
  <c r="M233" i="64"/>
  <c r="M234" i="64"/>
  <c r="M235" i="64"/>
  <c r="M236" i="64"/>
  <c r="M237" i="64"/>
  <c r="M238" i="64"/>
  <c r="M239" i="64"/>
  <c r="M240" i="64"/>
  <c r="M241" i="64"/>
  <c r="M242" i="64"/>
  <c r="M243" i="64"/>
  <c r="M244" i="64"/>
  <c r="M245" i="64"/>
  <c r="M246" i="64"/>
  <c r="M247" i="64"/>
  <c r="M248" i="64"/>
  <c r="M249" i="64"/>
  <c r="M250" i="64"/>
  <c r="M251" i="64"/>
  <c r="M252" i="64"/>
  <c r="M253" i="64"/>
  <c r="M254" i="64"/>
  <c r="M255" i="64"/>
  <c r="M256" i="64"/>
  <c r="M257" i="64"/>
  <c r="M258" i="64"/>
  <c r="M259" i="64"/>
  <c r="M260" i="64"/>
  <c r="M261" i="64"/>
  <c r="M262" i="64"/>
  <c r="M263" i="64"/>
  <c r="M264" i="64"/>
  <c r="M265" i="64"/>
  <c r="M266" i="64"/>
  <c r="M267" i="64"/>
  <c r="M268" i="64"/>
  <c r="M269" i="64"/>
  <c r="M270" i="64"/>
  <c r="M271" i="64"/>
  <c r="M272" i="64"/>
  <c r="M273" i="64"/>
  <c r="M274" i="64"/>
  <c r="M275" i="64"/>
  <c r="M276" i="64"/>
  <c r="M277" i="64"/>
  <c r="M278" i="64"/>
  <c r="M279" i="64"/>
  <c r="M280" i="64"/>
  <c r="M281" i="64"/>
  <c r="M282" i="64"/>
  <c r="M283" i="64"/>
  <c r="M284" i="64"/>
  <c r="M285" i="64"/>
  <c r="M286" i="64"/>
  <c r="M287" i="64"/>
  <c r="M288" i="64"/>
  <c r="M289" i="64"/>
  <c r="M290" i="64"/>
  <c r="M291" i="64"/>
  <c r="M292" i="64"/>
  <c r="M293" i="64"/>
  <c r="M294" i="64"/>
  <c r="M295" i="64"/>
  <c r="M296" i="64"/>
  <c r="M297" i="64"/>
  <c r="M298" i="64"/>
  <c r="M299" i="64"/>
  <c r="M300" i="64"/>
  <c r="M301" i="64"/>
  <c r="M302" i="64"/>
  <c r="M303" i="64"/>
  <c r="M304" i="64"/>
  <c r="M305" i="64"/>
  <c r="M306" i="64"/>
  <c r="M307" i="64"/>
  <c r="M308" i="64"/>
  <c r="M309" i="64"/>
  <c r="M310" i="64"/>
  <c r="M311" i="64"/>
  <c r="M312" i="64"/>
  <c r="M313" i="64"/>
  <c r="M314" i="64"/>
  <c r="M315" i="64"/>
  <c r="M316" i="64"/>
  <c r="M317" i="64"/>
  <c r="M318" i="64"/>
  <c r="M319" i="64"/>
  <c r="M320" i="64"/>
  <c r="M321" i="64"/>
  <c r="M322" i="64"/>
  <c r="M323" i="64"/>
  <c r="M324" i="64"/>
  <c r="M325" i="64"/>
  <c r="M326" i="64"/>
  <c r="M327" i="64"/>
  <c r="M328" i="64"/>
  <c r="M329" i="64"/>
  <c r="M330" i="64"/>
  <c r="M331" i="64"/>
  <c r="M332" i="64"/>
  <c r="M333" i="64"/>
  <c r="M334" i="64"/>
  <c r="M335" i="64"/>
  <c r="M336" i="64"/>
  <c r="M337" i="64"/>
  <c r="M338" i="64"/>
  <c r="M339" i="64"/>
  <c r="M340" i="64"/>
  <c r="M341" i="64"/>
  <c r="M342" i="64"/>
  <c r="M343" i="64"/>
  <c r="M344" i="64"/>
  <c r="M345" i="64"/>
  <c r="M346" i="64"/>
  <c r="M347" i="64"/>
  <c r="M348" i="64"/>
  <c r="M349" i="64"/>
  <c r="M350" i="64"/>
  <c r="M351" i="64"/>
  <c r="M352" i="64"/>
  <c r="M353" i="64"/>
  <c r="M354" i="64"/>
  <c r="M355" i="64"/>
  <c r="M356" i="64"/>
  <c r="M357" i="64"/>
  <c r="M358" i="64"/>
  <c r="M359" i="64"/>
  <c r="M360" i="64"/>
  <c r="M361" i="64"/>
  <c r="M362" i="64"/>
  <c r="M363" i="64"/>
  <c r="M364" i="64"/>
  <c r="M365" i="64"/>
  <c r="M366" i="64"/>
  <c r="M367" i="64"/>
  <c r="M368" i="64"/>
  <c r="M369" i="64"/>
  <c r="M370" i="64"/>
  <c r="M371" i="64"/>
  <c r="M372" i="64"/>
  <c r="M373" i="64"/>
  <c r="M374" i="64"/>
  <c r="M375" i="64"/>
  <c r="M376" i="64"/>
  <c r="M377" i="64"/>
  <c r="M378" i="64"/>
  <c r="M379" i="64"/>
  <c r="M380" i="64"/>
  <c r="M381" i="64"/>
  <c r="M382" i="64"/>
  <c r="M383" i="64"/>
  <c r="M384" i="64"/>
  <c r="M385" i="64"/>
  <c r="M386" i="64"/>
  <c r="M387" i="64"/>
  <c r="M388" i="64"/>
  <c r="M389" i="64"/>
  <c r="M390" i="64"/>
  <c r="M391" i="64"/>
  <c r="M392" i="64"/>
  <c r="M393" i="64"/>
  <c r="M394" i="64"/>
  <c r="M395" i="64"/>
  <c r="M396" i="64"/>
  <c r="M397" i="64"/>
  <c r="M398" i="64"/>
  <c r="M399" i="64"/>
  <c r="M400" i="64"/>
  <c r="M401" i="64"/>
  <c r="M402" i="64"/>
  <c r="M403" i="64"/>
  <c r="M404" i="64"/>
  <c r="M405" i="64"/>
  <c r="M406" i="64"/>
  <c r="M407" i="64"/>
  <c r="M408" i="64"/>
  <c r="M409" i="64"/>
  <c r="M410" i="64"/>
  <c r="M411" i="64"/>
  <c r="M412" i="64"/>
  <c r="M413" i="64"/>
  <c r="M414" i="64"/>
  <c r="M415" i="64"/>
  <c r="M416" i="64"/>
  <c r="M417" i="64"/>
  <c r="M418" i="64"/>
  <c r="M419" i="64"/>
  <c r="M420" i="64"/>
  <c r="M421" i="64"/>
  <c r="M422" i="64"/>
  <c r="M423" i="64"/>
  <c r="M424" i="64"/>
  <c r="M425" i="64"/>
  <c r="M426" i="64"/>
  <c r="M427" i="64"/>
  <c r="M428" i="64"/>
  <c r="M429" i="64"/>
  <c r="M430" i="64"/>
  <c r="M431" i="64"/>
  <c r="M432" i="64"/>
  <c r="M433" i="64"/>
  <c r="M434" i="64"/>
  <c r="M435" i="64"/>
  <c r="M436" i="64"/>
  <c r="M437" i="64"/>
  <c r="M438" i="64"/>
  <c r="M439" i="64"/>
  <c r="M440" i="64"/>
  <c r="M441" i="64"/>
  <c r="M442" i="64"/>
  <c r="M443" i="64"/>
  <c r="M444" i="64"/>
  <c r="M445" i="64"/>
  <c r="M446" i="64"/>
  <c r="M447" i="64"/>
  <c r="M448" i="64"/>
  <c r="M449" i="64"/>
  <c r="M450" i="64"/>
  <c r="M451" i="64"/>
  <c r="M452" i="64"/>
  <c r="M453" i="64"/>
  <c r="M454" i="64"/>
  <c r="M455" i="64"/>
  <c r="M456" i="64"/>
  <c r="M457" i="64"/>
  <c r="M458" i="64"/>
  <c r="M459" i="64"/>
  <c r="M460" i="64"/>
  <c r="M461" i="64"/>
  <c r="M462" i="64"/>
  <c r="M463" i="64"/>
  <c r="M464" i="64"/>
  <c r="M465" i="64"/>
  <c r="M466" i="64"/>
  <c r="M467" i="64"/>
  <c r="M468" i="64"/>
  <c r="M469" i="64"/>
  <c r="M470" i="64"/>
  <c r="M471" i="64"/>
  <c r="M472" i="64"/>
  <c r="M473" i="64"/>
  <c r="M474" i="64"/>
  <c r="M475" i="64"/>
  <c r="M476" i="64"/>
  <c r="M477" i="64"/>
  <c r="M478" i="64"/>
  <c r="M479" i="64"/>
  <c r="M480" i="64"/>
  <c r="M481" i="64"/>
  <c r="M482" i="64"/>
  <c r="M483" i="64"/>
  <c r="M484" i="64"/>
  <c r="M485" i="64"/>
  <c r="M486" i="64"/>
  <c r="M487" i="64"/>
  <c r="M488" i="64"/>
  <c r="M489" i="64"/>
  <c r="M490" i="64"/>
  <c r="M491" i="64"/>
  <c r="M492" i="64"/>
  <c r="M493" i="64"/>
  <c r="M494" i="64"/>
  <c r="M495" i="64"/>
  <c r="M496" i="64"/>
  <c r="M497" i="64"/>
  <c r="M498" i="64"/>
  <c r="M499" i="64"/>
  <c r="M500" i="64"/>
  <c r="M501" i="64"/>
  <c r="M502" i="64"/>
  <c r="M503" i="64"/>
  <c r="M504" i="64"/>
  <c r="M505" i="64"/>
  <c r="M506" i="64"/>
  <c r="M507" i="64"/>
  <c r="M508" i="64"/>
  <c r="M509" i="64"/>
  <c r="M510" i="64"/>
  <c r="M511" i="64"/>
  <c r="M512" i="64"/>
  <c r="M513" i="64"/>
  <c r="M514" i="64"/>
  <c r="M515" i="64"/>
  <c r="M516" i="64"/>
  <c r="M517" i="64"/>
  <c r="M518" i="64"/>
  <c r="M519" i="64"/>
  <c r="M520" i="64"/>
  <c r="M521" i="64"/>
  <c r="M522" i="64"/>
  <c r="M523" i="64"/>
  <c r="M524" i="64"/>
  <c r="M525" i="64"/>
  <c r="L511" i="64"/>
  <c r="L512" i="64"/>
  <c r="L513" i="64"/>
  <c r="L514" i="64"/>
  <c r="L515" i="64"/>
  <c r="L516" i="64"/>
  <c r="L517" i="64"/>
  <c r="L518" i="64"/>
  <c r="L519" i="64"/>
  <c r="L520" i="64"/>
  <c r="L521" i="64"/>
  <c r="L522" i="64"/>
  <c r="L523" i="64"/>
  <c r="L524" i="64"/>
  <c r="L525" i="64"/>
  <c r="O434" i="44" l="1"/>
  <c r="AL22" i="5" a="1"/>
  <c r="AL22" i="5" s="1"/>
  <c r="AK22" i="5" a="1"/>
  <c r="AK22" i="5" s="1"/>
  <c r="AJ22" i="5" a="1"/>
  <c r="AJ22" i="5" s="1"/>
  <c r="AI22" i="5" a="1"/>
  <c r="AI22" i="5" s="1"/>
  <c r="AH22" i="5" a="1"/>
  <c r="AH22" i="5" s="1"/>
  <c r="AG22" i="5" a="1"/>
  <c r="AG22" i="5" s="1"/>
  <c r="AF22" i="5" a="1"/>
  <c r="AF22" i="5" s="1"/>
  <c r="AE22" i="5" a="1"/>
  <c r="AE22" i="5" s="1"/>
  <c r="AD22" i="5" a="1"/>
  <c r="AD22" i="5" s="1"/>
  <c r="AC22" i="5" a="1"/>
  <c r="AC22" i="5" s="1"/>
  <c r="AB22" i="5" a="1"/>
  <c r="AB22" i="5" s="1"/>
  <c r="AA22" i="5" a="1"/>
  <c r="AA22" i="5" s="1"/>
  <c r="Z22" i="5" a="1"/>
  <c r="Z22" i="5" s="1"/>
  <c r="Y22" i="5" a="1"/>
  <c r="Y22" i="5" s="1"/>
  <c r="X22" i="5" a="1"/>
  <c r="X22" i="5" s="1"/>
  <c r="W22" i="5" a="1"/>
  <c r="W22" i="5" s="1"/>
  <c r="V22" i="5" a="1"/>
  <c r="V22" i="5" s="1"/>
  <c r="U22" i="5" a="1"/>
  <c r="U22" i="5" s="1"/>
  <c r="T22" i="5" a="1"/>
  <c r="T22" i="5" s="1"/>
  <c r="S22" i="5" a="1"/>
  <c r="S22" i="5" s="1"/>
  <c r="R22" i="5" a="1"/>
  <c r="R22" i="5" s="1"/>
  <c r="Q22" i="5" a="1"/>
  <c r="Q22" i="5" s="1"/>
  <c r="M22" i="5" a="1"/>
  <c r="M22" i="5" s="1"/>
  <c r="L22" i="5" a="1"/>
  <c r="L22" i="5" s="1"/>
  <c r="K22" i="5" a="1"/>
  <c r="K22" i="5" s="1"/>
  <c r="J22" i="5" a="1"/>
  <c r="J22" i="5" s="1"/>
  <c r="I22" i="5" a="1"/>
  <c r="I22" i="5" s="1"/>
  <c r="H22" i="5" a="1"/>
  <c r="H22" i="5" s="1"/>
  <c r="G22" i="5" a="1"/>
  <c r="G22" i="5" s="1"/>
  <c r="F22" i="5" a="1"/>
  <c r="F22" i="5" s="1"/>
  <c r="E22" i="5" a="1"/>
  <c r="E22" i="5" s="1"/>
  <c r="D22" i="5" a="1"/>
  <c r="D22" i="5" s="1"/>
  <c r="C26" i="67"/>
  <c r="C27" i="67"/>
  <c r="C28" i="67"/>
  <c r="C29" i="67"/>
  <c r="C30" i="67"/>
  <c r="C31" i="67"/>
  <c r="C25" i="67"/>
  <c r="C10" i="67"/>
  <c r="C11" i="67"/>
  <c r="C12" i="67"/>
  <c r="C13" i="67"/>
  <c r="C14" i="67"/>
  <c r="C15" i="67"/>
  <c r="C16" i="67"/>
  <c r="C17" i="67"/>
  <c r="C18" i="67"/>
  <c r="C19" i="67"/>
  <c r="C20" i="67"/>
  <c r="C21" i="67"/>
  <c r="C22" i="67"/>
  <c r="C23" i="67"/>
  <c r="C24" i="67"/>
  <c r="C9" i="67"/>
  <c r="D29" i="41"/>
  <c r="D36" i="41"/>
  <c r="H45" i="5"/>
  <c r="G45" i="5"/>
  <c r="F45" i="5"/>
  <c r="E45" i="5"/>
  <c r="D45" i="5"/>
  <c r="L510" i="64"/>
  <c r="L509" i="64"/>
  <c r="L508" i="64"/>
  <c r="L507" i="64"/>
  <c r="L506" i="64"/>
  <c r="L505" i="64"/>
  <c r="L504" i="64"/>
  <c r="L503" i="64"/>
  <c r="L502" i="64"/>
  <c r="L501" i="64"/>
  <c r="L500" i="64"/>
  <c r="L499" i="64"/>
  <c r="L498" i="64"/>
  <c r="L497" i="64"/>
  <c r="L496" i="64"/>
  <c r="L495" i="64"/>
  <c r="L494" i="64"/>
  <c r="L493" i="64"/>
  <c r="L492" i="64"/>
  <c r="L491" i="64"/>
  <c r="L490" i="64"/>
  <c r="L489" i="64"/>
  <c r="L488" i="64"/>
  <c r="L487" i="64"/>
  <c r="L486" i="64"/>
  <c r="L485" i="64"/>
  <c r="L484" i="64"/>
  <c r="L483" i="64"/>
  <c r="L482" i="64"/>
  <c r="L481" i="64"/>
  <c r="L480" i="64"/>
  <c r="L479" i="64"/>
  <c r="L478" i="64"/>
  <c r="L477" i="64"/>
  <c r="L476" i="64"/>
  <c r="L475" i="64"/>
  <c r="L474" i="64"/>
  <c r="L473" i="64"/>
  <c r="L472" i="64"/>
  <c r="L471" i="64"/>
  <c r="L470" i="64"/>
  <c r="L469" i="64"/>
  <c r="L468" i="64"/>
  <c r="L467" i="64"/>
  <c r="L466" i="64"/>
  <c r="L465" i="64"/>
  <c r="L464" i="64"/>
  <c r="L463" i="64"/>
  <c r="L462" i="64"/>
  <c r="L461" i="64"/>
  <c r="L460" i="64"/>
  <c r="L459" i="64"/>
  <c r="L458" i="64"/>
  <c r="L457" i="64"/>
  <c r="L456" i="64"/>
  <c r="L455" i="64"/>
  <c r="L454" i="64"/>
  <c r="L453" i="64"/>
  <c r="L452" i="64"/>
  <c r="L451" i="64"/>
  <c r="L450" i="64"/>
  <c r="L449" i="64"/>
  <c r="L448" i="64"/>
  <c r="L447" i="64"/>
  <c r="L446" i="64"/>
  <c r="L445" i="64"/>
  <c r="L444" i="64"/>
  <c r="L443" i="64"/>
  <c r="L442" i="64"/>
  <c r="L441" i="64"/>
  <c r="L440" i="64"/>
  <c r="L439" i="64"/>
  <c r="L438" i="64"/>
  <c r="L437" i="64"/>
  <c r="L436" i="64"/>
  <c r="L435" i="64"/>
  <c r="L434" i="64"/>
  <c r="L433" i="64"/>
  <c r="L432" i="64"/>
  <c r="L431" i="64"/>
  <c r="L430" i="64"/>
  <c r="L429" i="64"/>
  <c r="L428" i="64"/>
  <c r="L427" i="64"/>
  <c r="L426" i="64"/>
  <c r="L425" i="64"/>
  <c r="L424" i="64"/>
  <c r="L423" i="64"/>
  <c r="L422" i="64"/>
  <c r="L421" i="64"/>
  <c r="L420" i="64"/>
  <c r="L419" i="64"/>
  <c r="L418" i="64"/>
  <c r="L417" i="64"/>
  <c r="L416" i="64"/>
  <c r="L415" i="64"/>
  <c r="L414" i="64"/>
  <c r="L413" i="64"/>
  <c r="L412" i="64"/>
  <c r="L411" i="64"/>
  <c r="L410" i="64"/>
  <c r="L409" i="64"/>
  <c r="L408" i="64"/>
  <c r="L407" i="64"/>
  <c r="L406" i="64"/>
  <c r="L405" i="64"/>
  <c r="L404" i="64"/>
  <c r="L403" i="64"/>
  <c r="L402" i="64"/>
  <c r="L401" i="64"/>
  <c r="L400" i="64"/>
  <c r="L399" i="64"/>
  <c r="L398" i="64"/>
  <c r="L397" i="64"/>
  <c r="L396" i="64"/>
  <c r="L395" i="64"/>
  <c r="L394" i="64"/>
  <c r="L393" i="64"/>
  <c r="L392" i="64"/>
  <c r="L391" i="64"/>
  <c r="L390" i="64"/>
  <c r="L389" i="64"/>
  <c r="L388" i="64"/>
  <c r="L387" i="64"/>
  <c r="L386" i="64"/>
  <c r="L385" i="64"/>
  <c r="L384" i="64"/>
  <c r="L383" i="64"/>
  <c r="L382" i="64"/>
  <c r="L381" i="64"/>
  <c r="L380" i="64"/>
  <c r="L379" i="64"/>
  <c r="L378" i="64"/>
  <c r="L377" i="64"/>
  <c r="L376" i="64"/>
  <c r="L375" i="64"/>
  <c r="L374" i="64"/>
  <c r="L373" i="64"/>
  <c r="L372" i="64"/>
  <c r="L371" i="64"/>
  <c r="L370" i="64"/>
  <c r="L369" i="64"/>
  <c r="L368" i="64"/>
  <c r="L367" i="64"/>
  <c r="L366" i="64"/>
  <c r="L365" i="64"/>
  <c r="L364" i="64"/>
  <c r="L363" i="64"/>
  <c r="L362" i="64"/>
  <c r="L361" i="64"/>
  <c r="L360" i="64"/>
  <c r="L359" i="64"/>
  <c r="L358" i="64"/>
  <c r="L357" i="64"/>
  <c r="L356" i="64"/>
  <c r="L355" i="64"/>
  <c r="L354" i="64"/>
  <c r="L353" i="64"/>
  <c r="L352" i="64"/>
  <c r="L351" i="64"/>
  <c r="L350" i="64"/>
  <c r="L349" i="64"/>
  <c r="L348" i="64"/>
  <c r="L347" i="64"/>
  <c r="L346" i="64"/>
  <c r="L345" i="64"/>
  <c r="L344" i="64"/>
  <c r="L343" i="64"/>
  <c r="L342" i="64"/>
  <c r="L341" i="64"/>
  <c r="L340" i="64"/>
  <c r="L339" i="64"/>
  <c r="L338" i="64"/>
  <c r="L337" i="64"/>
  <c r="L336" i="64"/>
  <c r="L335" i="64"/>
  <c r="L334" i="64"/>
  <c r="L333" i="64"/>
  <c r="L332" i="64"/>
  <c r="L331" i="64"/>
  <c r="L330" i="64"/>
  <c r="L329" i="64"/>
  <c r="L328" i="64"/>
  <c r="L327" i="64"/>
  <c r="L326" i="64"/>
  <c r="L325" i="64"/>
  <c r="L324" i="64"/>
  <c r="L323" i="64"/>
  <c r="L322" i="64"/>
  <c r="L321" i="64"/>
  <c r="L320" i="64"/>
  <c r="L319" i="64"/>
  <c r="L318" i="64"/>
  <c r="L317" i="64"/>
  <c r="L316" i="64"/>
  <c r="L315" i="64"/>
  <c r="L314" i="64"/>
  <c r="L313" i="64"/>
  <c r="L312" i="64"/>
  <c r="L311" i="64"/>
  <c r="L310" i="64"/>
  <c r="L309" i="64"/>
  <c r="L308" i="64"/>
  <c r="L307" i="64"/>
  <c r="L306" i="64"/>
  <c r="L305" i="64"/>
  <c r="L304" i="64"/>
  <c r="L303" i="64"/>
  <c r="L302" i="64"/>
  <c r="L301" i="64"/>
  <c r="L300" i="64"/>
  <c r="L299" i="64"/>
  <c r="L298" i="64"/>
  <c r="L297" i="64"/>
  <c r="L296" i="64"/>
  <c r="L295" i="64"/>
  <c r="L294" i="64"/>
  <c r="L293" i="64"/>
  <c r="L292" i="64"/>
  <c r="L291" i="64"/>
  <c r="L290" i="64"/>
  <c r="L289" i="64"/>
  <c r="L288" i="64"/>
  <c r="L287" i="64"/>
  <c r="L286" i="64"/>
  <c r="L285" i="64"/>
  <c r="L284" i="64"/>
  <c r="L283" i="64"/>
  <c r="L282" i="64"/>
  <c r="L281" i="64"/>
  <c r="L280" i="64"/>
  <c r="L279" i="64"/>
  <c r="L278" i="64"/>
  <c r="L277" i="64"/>
  <c r="L276" i="64"/>
  <c r="L275" i="64"/>
  <c r="L274" i="64"/>
  <c r="L273" i="64"/>
  <c r="L272" i="64"/>
  <c r="L271" i="64"/>
  <c r="L270" i="64"/>
  <c r="L269" i="64"/>
  <c r="L268" i="64"/>
  <c r="L267" i="64"/>
  <c r="L266" i="64"/>
  <c r="L265" i="64"/>
  <c r="L264" i="64"/>
  <c r="L263" i="64"/>
  <c r="L262" i="64"/>
  <c r="L261" i="64"/>
  <c r="L260" i="64"/>
  <c r="L259" i="64"/>
  <c r="L258" i="64"/>
  <c r="L257" i="64"/>
  <c r="L256" i="64"/>
  <c r="L255" i="64"/>
  <c r="L254" i="64"/>
  <c r="L253" i="64"/>
  <c r="L252" i="64"/>
  <c r="L251" i="64"/>
  <c r="L250" i="64"/>
  <c r="L249" i="64"/>
  <c r="L248" i="64"/>
  <c r="L247" i="64"/>
  <c r="L246" i="64"/>
  <c r="L245" i="64"/>
  <c r="L244" i="64"/>
  <c r="L243" i="64"/>
  <c r="L242" i="64"/>
  <c r="L241" i="64"/>
  <c r="L240" i="64"/>
  <c r="L239" i="64"/>
  <c r="L238" i="64"/>
  <c r="L237" i="64"/>
  <c r="L236" i="64"/>
  <c r="L235" i="64"/>
  <c r="L234" i="64"/>
  <c r="L233" i="64"/>
  <c r="L232" i="64"/>
  <c r="L231" i="64"/>
  <c r="L230" i="64"/>
  <c r="L229" i="64"/>
  <c r="L228" i="64"/>
  <c r="L227" i="64"/>
  <c r="L226" i="64"/>
  <c r="L225" i="64"/>
  <c r="L224" i="64"/>
  <c r="L223" i="64"/>
  <c r="L222" i="64"/>
  <c r="L221" i="64"/>
  <c r="L220" i="64"/>
  <c r="L219" i="64"/>
  <c r="L218" i="64"/>
  <c r="L217" i="64"/>
  <c r="L216" i="64"/>
  <c r="L215" i="64"/>
  <c r="L214" i="64"/>
  <c r="L213" i="64"/>
  <c r="L212" i="64"/>
  <c r="L211" i="64"/>
  <c r="L210" i="64"/>
  <c r="L209" i="64"/>
  <c r="L208" i="64"/>
  <c r="L207" i="64"/>
  <c r="L206" i="64"/>
  <c r="L205" i="64"/>
  <c r="L204" i="64"/>
  <c r="L203" i="64"/>
  <c r="L202" i="64"/>
  <c r="L201" i="64"/>
  <c r="L200" i="64"/>
  <c r="L199" i="64"/>
  <c r="L198" i="64"/>
  <c r="L197" i="64"/>
  <c r="L196" i="64"/>
  <c r="L195" i="64"/>
  <c r="L194" i="64"/>
  <c r="L193" i="64"/>
  <c r="L192" i="64"/>
  <c r="L191" i="64"/>
  <c r="L190" i="64"/>
  <c r="L189" i="64"/>
  <c r="L188" i="64"/>
  <c r="L187" i="64"/>
  <c r="L186" i="64"/>
  <c r="L185" i="64"/>
  <c r="L184" i="64"/>
  <c r="L183" i="64"/>
  <c r="L182" i="64"/>
  <c r="L181" i="64"/>
  <c r="L180" i="64"/>
  <c r="L179" i="64"/>
  <c r="L178" i="64"/>
  <c r="L177" i="64"/>
  <c r="L176" i="64"/>
  <c r="L175" i="64"/>
  <c r="L174" i="64"/>
  <c r="L173" i="64"/>
  <c r="L172" i="64"/>
  <c r="L171" i="64"/>
  <c r="L170" i="64"/>
  <c r="L169" i="64"/>
  <c r="L168" i="64"/>
  <c r="L167" i="64"/>
  <c r="L166" i="64"/>
  <c r="L165" i="64"/>
  <c r="L164" i="64"/>
  <c r="L163" i="64"/>
  <c r="L162" i="64"/>
  <c r="L161" i="64"/>
  <c r="L160" i="64"/>
  <c r="L159" i="64"/>
  <c r="L158" i="64"/>
  <c r="L157" i="64"/>
  <c r="L156" i="64"/>
  <c r="L155" i="64"/>
  <c r="L154" i="64"/>
  <c r="L153" i="64"/>
  <c r="L152" i="64"/>
  <c r="L151" i="64"/>
  <c r="L150" i="64"/>
  <c r="L149" i="64"/>
  <c r="L148" i="64"/>
  <c r="L147" i="64"/>
  <c r="L146" i="64"/>
  <c r="L145" i="64"/>
  <c r="L144" i="64"/>
  <c r="L143" i="64"/>
  <c r="L142" i="64"/>
  <c r="L141" i="64"/>
  <c r="L140" i="64"/>
  <c r="L139" i="64"/>
  <c r="L138" i="64"/>
  <c r="L137" i="64"/>
  <c r="L136" i="64"/>
  <c r="L135" i="64"/>
  <c r="L134" i="64"/>
  <c r="L133" i="64"/>
  <c r="L132" i="64"/>
  <c r="L131" i="64"/>
  <c r="L130" i="64"/>
  <c r="L129" i="64"/>
  <c r="L128" i="64"/>
  <c r="L127" i="64"/>
  <c r="L126" i="64"/>
  <c r="L125" i="64"/>
  <c r="L124" i="64"/>
  <c r="L123" i="64"/>
  <c r="L122" i="64"/>
  <c r="L121" i="64"/>
  <c r="L120" i="64"/>
  <c r="L119" i="64"/>
  <c r="L118" i="64"/>
  <c r="L117" i="64"/>
  <c r="L116" i="64"/>
  <c r="L115" i="64"/>
  <c r="L114" i="64"/>
  <c r="L113" i="64"/>
  <c r="L112" i="64"/>
  <c r="L111" i="64"/>
  <c r="L110" i="64"/>
  <c r="L109" i="64"/>
  <c r="L108" i="64"/>
  <c r="L107" i="64"/>
  <c r="L106" i="64"/>
  <c r="L105" i="64"/>
  <c r="L104" i="64"/>
  <c r="L103" i="64"/>
  <c r="L102" i="64"/>
  <c r="L101" i="64"/>
  <c r="L100" i="64"/>
  <c r="L99" i="64"/>
  <c r="L98" i="64"/>
  <c r="L97" i="64"/>
  <c r="L96" i="64"/>
  <c r="L95" i="64"/>
  <c r="L94" i="64"/>
  <c r="L93" i="64"/>
  <c r="L92" i="64"/>
  <c r="L91" i="64"/>
  <c r="L90" i="64"/>
  <c r="L89" i="64"/>
  <c r="L88" i="64"/>
  <c r="L87" i="64"/>
  <c r="L86" i="64"/>
  <c r="L85" i="64"/>
  <c r="L84" i="64"/>
  <c r="L83" i="64"/>
  <c r="L82" i="64"/>
  <c r="L81" i="64"/>
  <c r="L80" i="64"/>
  <c r="L79" i="64"/>
  <c r="L78" i="64"/>
  <c r="L77" i="64"/>
  <c r="L76" i="64"/>
  <c r="L75" i="64"/>
  <c r="L74" i="64"/>
  <c r="L73" i="64"/>
  <c r="L72" i="64"/>
  <c r="L71" i="64"/>
  <c r="L70" i="64"/>
  <c r="L69" i="64"/>
  <c r="L68" i="64"/>
  <c r="L67" i="64"/>
  <c r="L66" i="64"/>
  <c r="L65" i="64"/>
  <c r="L64" i="64"/>
  <c r="L63" i="64"/>
  <c r="L62" i="64"/>
  <c r="L61" i="64"/>
  <c r="L60" i="64"/>
  <c r="L59" i="64"/>
  <c r="L58" i="64"/>
  <c r="L57" i="64"/>
  <c r="L56" i="64"/>
  <c r="L55" i="64"/>
  <c r="L54" i="64"/>
  <c r="L53" i="64"/>
  <c r="L52" i="64"/>
  <c r="L51" i="64"/>
  <c r="L50" i="64"/>
  <c r="L49" i="64"/>
  <c r="L48" i="64"/>
  <c r="L47" i="64"/>
  <c r="L46" i="64"/>
  <c r="L45" i="64"/>
  <c r="L44" i="64"/>
  <c r="L43" i="64"/>
  <c r="L42" i="64"/>
  <c r="L41" i="64"/>
  <c r="L40" i="64"/>
  <c r="L39" i="64"/>
  <c r="L38" i="64"/>
  <c r="L37" i="64"/>
  <c r="L36" i="64"/>
  <c r="L35" i="64"/>
  <c r="L34" i="64"/>
  <c r="L33" i="64"/>
  <c r="L32" i="64"/>
  <c r="L31" i="64"/>
  <c r="L30" i="64"/>
  <c r="L29" i="64"/>
  <c r="J426" i="44"/>
  <c r="D14" i="67" s="1"/>
  <c r="J427" i="44"/>
  <c r="D15" i="67" s="1"/>
  <c r="J428" i="44"/>
  <c r="D16" i="67" s="1"/>
  <c r="J429" i="44"/>
  <c r="D17" i="67" s="1"/>
  <c r="J430" i="44"/>
  <c r="D18" i="67" s="1"/>
  <c r="J431" i="44"/>
  <c r="D19" i="67" s="1"/>
  <c r="J432" i="44"/>
  <c r="D20" i="67" s="1"/>
  <c r="J433" i="44"/>
  <c r="D21" i="67" s="1"/>
  <c r="J434" i="44"/>
  <c r="D22" i="67" s="1"/>
  <c r="J435" i="44"/>
  <c r="D23" i="67" s="1"/>
  <c r="J436" i="44"/>
  <c r="D24" i="67" s="1"/>
  <c r="J438" i="44"/>
  <c r="J425" i="44"/>
  <c r="D13" i="67" s="1"/>
  <c r="J420" i="44"/>
  <c r="D9" i="67" s="1"/>
  <c r="J421" i="44"/>
  <c r="D10" i="67" s="1"/>
  <c r="J422" i="44"/>
  <c r="D11" i="67" s="1"/>
  <c r="J423" i="44"/>
  <c r="D12" i="67" s="1"/>
  <c r="N493" i="64" l="1"/>
  <c r="N509" i="64"/>
  <c r="E20" i="67"/>
  <c r="I20" i="67" s="1"/>
  <c r="N494" i="64"/>
  <c r="N510" i="64"/>
  <c r="E19" i="67"/>
  <c r="I19" i="67" s="1"/>
  <c r="N495" i="64"/>
  <c r="E18" i="67"/>
  <c r="I18" i="67" s="1"/>
  <c r="N496" i="64"/>
  <c r="N497" i="64"/>
  <c r="E16" i="67"/>
  <c r="I16" i="67" s="1"/>
  <c r="N498" i="64"/>
  <c r="E15" i="67"/>
  <c r="I15" i="67" s="1"/>
  <c r="N499" i="64"/>
  <c r="N500" i="64"/>
  <c r="E13" i="67"/>
  <c r="I13" i="67" s="1"/>
  <c r="N501" i="64"/>
  <c r="E12" i="67"/>
  <c r="I12" i="67" s="1"/>
  <c r="N502" i="64"/>
  <c r="E11" i="67"/>
  <c r="I11" i="67" s="1"/>
  <c r="N487" i="64"/>
  <c r="N503" i="64"/>
  <c r="E10" i="67"/>
  <c r="H10" i="67" s="1"/>
  <c r="N488" i="64"/>
  <c r="N504" i="64"/>
  <c r="E9" i="67"/>
  <c r="H9" i="67" s="1"/>
  <c r="H35" i="67" s="1"/>
  <c r="E25" i="67"/>
  <c r="J25" i="67" s="1"/>
  <c r="N489" i="64"/>
  <c r="N505" i="64"/>
  <c r="E24" i="67"/>
  <c r="J24" i="67" s="1"/>
  <c r="N490" i="64"/>
  <c r="N506" i="64"/>
  <c r="N491" i="64"/>
  <c r="N507" i="64"/>
  <c r="N492" i="64"/>
  <c r="N508" i="64"/>
  <c r="E21" i="67"/>
  <c r="I21" i="67" s="1"/>
  <c r="E17" i="67"/>
  <c r="I17" i="67" s="1"/>
  <c r="E23" i="67"/>
  <c r="J23" i="67" s="1"/>
  <c r="E14" i="67"/>
  <c r="I14" i="67" s="1"/>
  <c r="E22" i="67"/>
  <c r="I22" i="67" s="1"/>
  <c r="E28" i="67"/>
  <c r="J28" i="67" s="1"/>
  <c r="H11" i="67"/>
  <c r="E26" i="67"/>
  <c r="J26" i="67" s="1"/>
  <c r="E27" i="67"/>
  <c r="J27" i="67" s="1"/>
  <c r="E29" i="67"/>
  <c r="J29" i="67" s="1"/>
  <c r="T34" i="64"/>
  <c r="U34" i="64" s="1"/>
  <c r="Q74" i="45" s="1"/>
  <c r="DD10" i="51"/>
  <c r="DD11" i="51"/>
  <c r="DD12" i="51"/>
  <c r="DD13" i="51"/>
  <c r="DD14" i="51"/>
  <c r="DD15" i="51"/>
  <c r="DD16" i="51"/>
  <c r="DD17" i="51"/>
  <c r="DD18" i="51"/>
  <c r="CY21" i="51"/>
  <c r="CX21" i="51"/>
  <c r="CZ21" i="51" s="1"/>
  <c r="DB10" i="51"/>
  <c r="DB11" i="51"/>
  <c r="DB12" i="51"/>
  <c r="DB13" i="51"/>
  <c r="DB14" i="51"/>
  <c r="DB15" i="51"/>
  <c r="DB16" i="51"/>
  <c r="DB17" i="51"/>
  <c r="DB18" i="51"/>
  <c r="CZ18" i="51"/>
  <c r="CZ17" i="51"/>
  <c r="CZ16" i="51"/>
  <c r="CZ15" i="51"/>
  <c r="CZ14" i="51"/>
  <c r="CZ13" i="51"/>
  <c r="CZ12" i="51"/>
  <c r="CZ11" i="51"/>
  <c r="CZ10" i="51"/>
  <c r="CZ9" i="51"/>
  <c r="DB9" i="51" s="1"/>
  <c r="CU21" i="51"/>
  <c r="CU10" i="51"/>
  <c r="CU11" i="51"/>
  <c r="CU12" i="51"/>
  <c r="CU13" i="51"/>
  <c r="CU14" i="51"/>
  <c r="CU15" i="51"/>
  <c r="CU16" i="51"/>
  <c r="CU17" i="51"/>
  <c r="CU18" i="51"/>
  <c r="CU19" i="51"/>
  <c r="CU20" i="51"/>
  <c r="CU9" i="51"/>
  <c r="CS21" i="51"/>
  <c r="CS10" i="51"/>
  <c r="CS11" i="51"/>
  <c r="CS12" i="51"/>
  <c r="CS13" i="51"/>
  <c r="CS14" i="51"/>
  <c r="CS15" i="51"/>
  <c r="CS16" i="51"/>
  <c r="CS17" i="51"/>
  <c r="CS18" i="51"/>
  <c r="CS19" i="51"/>
  <c r="CS20" i="51"/>
  <c r="CS9" i="51"/>
  <c r="CP21" i="51"/>
  <c r="CO21" i="51"/>
  <c r="CQ10" i="51"/>
  <c r="CQ11" i="51"/>
  <c r="CQ12" i="51"/>
  <c r="CQ13" i="51"/>
  <c r="CQ14" i="51"/>
  <c r="CQ15" i="51"/>
  <c r="CQ16" i="51"/>
  <c r="CQ17" i="51"/>
  <c r="CQ18" i="51"/>
  <c r="CQ19" i="51"/>
  <c r="CQ20" i="51"/>
  <c r="CQ9" i="51"/>
  <c r="DB21" i="51" l="1"/>
  <c r="DD9" i="51"/>
  <c r="E39" i="51" s="1"/>
  <c r="DD21" i="51"/>
  <c r="H36" i="67"/>
  <c r="P36" i="45" s="1"/>
  <c r="E31" i="67"/>
  <c r="J31" i="67" s="1"/>
  <c r="I23" i="67"/>
  <c r="I35" i="67" s="1"/>
  <c r="I36" i="67" s="1"/>
  <c r="Q36" i="45" s="1"/>
  <c r="O22" i="5" s="1" a="1"/>
  <c r="O22" i="5" s="1"/>
  <c r="N22" i="5" a="1"/>
  <c r="N22" i="5" s="1"/>
  <c r="E30" i="67"/>
  <c r="J30" i="67" s="1"/>
  <c r="CQ21" i="51"/>
  <c r="L5" i="41"/>
  <c r="H11" i="41"/>
  <c r="F56" i="28" a="1"/>
  <c r="F56" i="28" s="1"/>
  <c r="G56" i="28" a="1"/>
  <c r="G56" i="28" s="1"/>
  <c r="H56" i="28" a="1"/>
  <c r="H56" i="28" s="1"/>
  <c r="I56" i="28" a="1"/>
  <c r="I56" i="28" s="1"/>
  <c r="J56" i="28" a="1"/>
  <c r="J56" i="28" s="1"/>
  <c r="K56" i="28" a="1"/>
  <c r="K56" i="28" s="1"/>
  <c r="L56" i="28" a="1"/>
  <c r="L56" i="28" s="1"/>
  <c r="M56" i="28" a="1"/>
  <c r="M56" i="28" s="1"/>
  <c r="N56" i="28" a="1"/>
  <c r="N56" i="28" s="1"/>
  <c r="O56" i="28" a="1"/>
  <c r="O56" i="28" s="1"/>
  <c r="P56" i="28" a="1"/>
  <c r="P56" i="28" s="1"/>
  <c r="Q56" i="28" a="1"/>
  <c r="Q56" i="28" s="1"/>
  <c r="R56" i="28" a="1"/>
  <c r="R56" i="28" s="1"/>
  <c r="S56" i="28" a="1"/>
  <c r="S56" i="28" s="1"/>
  <c r="T56" i="28" a="1"/>
  <c r="T56" i="28" s="1"/>
  <c r="U56" i="28" a="1"/>
  <c r="U56" i="28" s="1"/>
  <c r="V56" i="28" a="1"/>
  <c r="V56" i="28" s="1"/>
  <c r="W56" i="28" a="1"/>
  <c r="W56" i="28" s="1"/>
  <c r="X56" i="28" a="1"/>
  <c r="X56" i="28" s="1"/>
  <c r="Y56" i="28" a="1"/>
  <c r="Y56" i="28" s="1"/>
  <c r="Z56" i="28" a="1"/>
  <c r="Z56" i="28" s="1"/>
  <c r="AA56" i="28" a="1"/>
  <c r="AA56" i="28" s="1"/>
  <c r="AB56" i="28" a="1"/>
  <c r="AB56" i="28" s="1"/>
  <c r="AC56" i="28" a="1"/>
  <c r="AC56" i="28" s="1"/>
  <c r="AD56" i="28" a="1"/>
  <c r="AD56" i="28" s="1"/>
  <c r="AE56" i="28" a="1"/>
  <c r="AE56" i="28" s="1"/>
  <c r="AF56" i="28" a="1"/>
  <c r="AF56" i="28" s="1"/>
  <c r="AG56" i="28" a="1"/>
  <c r="AG56" i="28" s="1"/>
  <c r="AH56" i="28" a="1"/>
  <c r="AH56" i="28" s="1"/>
  <c r="AI56" i="28" a="1"/>
  <c r="AI56" i="28" s="1"/>
  <c r="AJ56" i="28" a="1"/>
  <c r="AJ56" i="28" s="1"/>
  <c r="AK56" i="28" a="1"/>
  <c r="AK56" i="28" s="1"/>
  <c r="AL56" i="28" a="1"/>
  <c r="AL56" i="28" s="1"/>
  <c r="AM56" i="28" a="1"/>
  <c r="AM56" i="28" s="1"/>
  <c r="E56" i="28" a="1"/>
  <c r="E56" i="28" s="1"/>
  <c r="E6" i="45"/>
  <c r="J35" i="67" l="1"/>
  <c r="J36" i="67" s="1"/>
  <c r="R36" i="45" s="1"/>
  <c r="H16" i="29"/>
  <c r="G16" i="29"/>
  <c r="P22" i="5" l="1" a="1"/>
  <c r="P22" i="5" s="1"/>
  <c r="E36" i="45"/>
  <c r="S57" i="28"/>
  <c r="R57" i="28"/>
  <c r="Q57" i="28"/>
  <c r="P57" i="28"/>
  <c r="O57" i="28"/>
  <c r="N57" i="28"/>
  <c r="M57" i="28"/>
  <c r="L57" i="28"/>
  <c r="K57" i="28"/>
  <c r="J57" i="28"/>
  <c r="I57" i="28"/>
  <c r="H57" i="28"/>
  <c r="G57" i="28"/>
  <c r="F57" i="28"/>
  <c r="E57" i="28"/>
  <c r="AL57" i="28"/>
  <c r="AK57" i="28"/>
  <c r="AJ57" i="28"/>
  <c r="AG57" i="28"/>
  <c r="AF57" i="28"/>
  <c r="AE57" i="28"/>
  <c r="AD57" i="28"/>
  <c r="AC57" i="28"/>
  <c r="AA57" i="28"/>
  <c r="Z57" i="28"/>
  <c r="Y57" i="28"/>
  <c r="X57" i="28"/>
  <c r="W57" i="28"/>
  <c r="V57" i="28"/>
  <c r="T57" i="28"/>
  <c r="AM57" i="28" l="1"/>
  <c r="AH57" i="28"/>
  <c r="R20" i="5"/>
  <c r="Q20" i="5"/>
  <c r="P20" i="5"/>
  <c r="O20" i="5"/>
  <c r="N20" i="5"/>
  <c r="M20" i="5"/>
  <c r="L20" i="5"/>
  <c r="K20" i="5"/>
  <c r="J20" i="5"/>
  <c r="I20" i="5"/>
  <c r="H20" i="5"/>
  <c r="G20" i="5"/>
  <c r="F20" i="5"/>
  <c r="E20" i="5"/>
  <c r="D20" i="5"/>
  <c r="R9" i="5"/>
  <c r="Q9" i="5"/>
  <c r="P9" i="5"/>
  <c r="O9" i="5"/>
  <c r="N9" i="5"/>
  <c r="M9" i="5"/>
  <c r="L9" i="5"/>
  <c r="K9" i="5"/>
  <c r="J9" i="5"/>
  <c r="I9" i="5"/>
  <c r="H9" i="5"/>
  <c r="G9" i="5"/>
  <c r="F9" i="5"/>
  <c r="E9" i="5"/>
  <c r="D9" i="5"/>
  <c r="AM23" i="28"/>
  <c r="AL23" i="28"/>
  <c r="AK23" i="28"/>
  <c r="AJ23" i="28"/>
  <c r="AI23" i="28"/>
  <c r="AH23" i="28"/>
  <c r="AG23" i="28"/>
  <c r="AF23" i="28"/>
  <c r="AE23" i="28"/>
  <c r="AD23" i="28"/>
  <c r="AC23" i="28"/>
  <c r="AB23" i="28"/>
  <c r="AA23" i="28"/>
  <c r="Z23" i="28"/>
  <c r="Y23" i="28"/>
  <c r="X23" i="28"/>
  <c r="W23" i="28"/>
  <c r="V23" i="28"/>
  <c r="T23" i="28"/>
  <c r="S23" i="28"/>
  <c r="R23" i="28"/>
  <c r="Q23" i="28"/>
  <c r="P23" i="28"/>
  <c r="O23" i="28"/>
  <c r="N23" i="28"/>
  <c r="M23" i="28"/>
  <c r="L23" i="28"/>
  <c r="K23" i="28"/>
  <c r="J23" i="28"/>
  <c r="I23" i="28"/>
  <c r="H23" i="28"/>
  <c r="G23" i="28"/>
  <c r="R42" i="45"/>
  <c r="E42" i="45" l="1"/>
  <c r="V43" i="45"/>
  <c r="U23" i="28" s="1"/>
  <c r="R11" i="28"/>
  <c r="L11" i="28"/>
  <c r="AN66" i="45"/>
  <c r="AN67" i="45" s="1"/>
  <c r="AM11" i="28" s="1"/>
  <c r="AM66" i="45"/>
  <c r="AM67" i="45" s="1"/>
  <c r="AL11" i="28" s="1"/>
  <c r="AL66" i="45"/>
  <c r="AL67" i="45" s="1"/>
  <c r="AK11" i="28" s="1"/>
  <c r="AK66" i="45"/>
  <c r="AK67" i="45" s="1"/>
  <c r="AJ11" i="28" s="1"/>
  <c r="AJ66" i="45"/>
  <c r="AI11" i="28" s="1"/>
  <c r="AI66" i="45"/>
  <c r="AH66" i="45"/>
  <c r="AG11" i="28" s="1"/>
  <c r="AG66" i="45"/>
  <c r="AG67" i="45" s="1"/>
  <c r="AF11" i="28" s="1"/>
  <c r="AF66" i="45"/>
  <c r="AF67" i="45" s="1"/>
  <c r="AE11" i="28" s="1"/>
  <c r="AE66" i="45"/>
  <c r="AE67" i="45" s="1"/>
  <c r="AD11" i="28" s="1"/>
  <c r="AD66" i="45"/>
  <c r="AD67" i="45" s="1"/>
  <c r="AC11" i="28" s="1"/>
  <c r="AC66" i="45"/>
  <c r="AC67" i="45" s="1"/>
  <c r="AB11" i="28" s="1"/>
  <c r="AB66" i="45"/>
  <c r="AB67" i="45" s="1"/>
  <c r="AA11" i="28" s="1"/>
  <c r="AA66" i="45"/>
  <c r="AA67" i="45" s="1"/>
  <c r="Z11" i="28" s="1"/>
  <c r="Z66" i="45"/>
  <c r="Z67" i="45" s="1"/>
  <c r="Y11" i="28" s="1"/>
  <c r="Y66" i="45"/>
  <c r="X66" i="45"/>
  <c r="X67" i="45" s="1"/>
  <c r="W11" i="28" s="1"/>
  <c r="W66" i="45"/>
  <c r="W67" i="45" s="1"/>
  <c r="V11" i="28" s="1"/>
  <c r="V66" i="45"/>
  <c r="V67" i="45" s="1"/>
  <c r="U11" i="28" s="1"/>
  <c r="U66" i="45"/>
  <c r="U67" i="45" s="1"/>
  <c r="T11" i="28" s="1"/>
  <c r="T66" i="45"/>
  <c r="S11" i="28" s="1"/>
  <c r="R66" i="45"/>
  <c r="Q66" i="45"/>
  <c r="P66" i="45"/>
  <c r="O66" i="45"/>
  <c r="N66" i="45"/>
  <c r="L66" i="45"/>
  <c r="K66" i="45"/>
  <c r="J66" i="45"/>
  <c r="I66" i="45"/>
  <c r="H66" i="45"/>
  <c r="G66" i="45"/>
  <c r="F66" i="45"/>
  <c r="S66" i="45"/>
  <c r="N44" i="5"/>
  <c r="M44" i="5"/>
  <c r="M14" i="50"/>
  <c r="M15" i="50"/>
  <c r="M16" i="50"/>
  <c r="M17" i="50"/>
  <c r="L15" i="50"/>
  <c r="L16" i="50"/>
  <c r="L17" i="50"/>
  <c r="L14" i="50"/>
  <c r="H14" i="50"/>
  <c r="I14" i="50"/>
  <c r="J14" i="50"/>
  <c r="K14" i="50"/>
  <c r="H15" i="50"/>
  <c r="I15" i="50"/>
  <c r="J15" i="50"/>
  <c r="K15" i="50"/>
  <c r="H16" i="50"/>
  <c r="I16" i="50"/>
  <c r="J16" i="50"/>
  <c r="K16" i="50"/>
  <c r="H17" i="50"/>
  <c r="I17" i="50"/>
  <c r="J17" i="50"/>
  <c r="K17" i="50"/>
  <c r="G14" i="50"/>
  <c r="G15" i="50"/>
  <c r="G16" i="50"/>
  <c r="G17" i="50"/>
  <c r="E15" i="50"/>
  <c r="E16" i="50"/>
  <c r="E17" i="50"/>
  <c r="E14" i="50"/>
  <c r="AI67" i="45" l="1"/>
  <c r="AH11" i="28" s="1"/>
  <c r="Y67" i="45"/>
  <c r="X11" i="28" s="1"/>
  <c r="E66" i="45"/>
  <c r="E10" i="57"/>
  <c r="D10" i="57"/>
  <c r="H10" i="40"/>
  <c r="D11" i="40" s="1"/>
  <c r="H11" i="40" s="1"/>
  <c r="D12" i="40" s="1"/>
  <c r="H12" i="40" s="1"/>
  <c r="D13" i="40" s="1"/>
  <c r="E20" i="55"/>
  <c r="D44" i="41" s="1"/>
  <c r="C8" i="57"/>
  <c r="AN57" i="45"/>
  <c r="AN58" i="45" s="1"/>
  <c r="AL20" i="5" s="1"/>
  <c r="AM57" i="45"/>
  <c r="AM58" i="45" s="1"/>
  <c r="AK20" i="5" s="1"/>
  <c r="AL57" i="45"/>
  <c r="AL58" i="45" s="1"/>
  <c r="AJ20" i="5" s="1"/>
  <c r="AK57" i="45"/>
  <c r="AK58" i="45" s="1"/>
  <c r="AI20" i="5" s="1"/>
  <c r="AJ57" i="45"/>
  <c r="AJ58" i="45" s="1"/>
  <c r="AH20" i="5" s="1"/>
  <c r="AI57" i="45"/>
  <c r="AI58" i="45" s="1"/>
  <c r="AG20" i="5" s="1"/>
  <c r="AH57" i="45"/>
  <c r="AH58" i="45" s="1"/>
  <c r="AF20" i="5" s="1"/>
  <c r="AG57" i="45"/>
  <c r="AG58" i="45" s="1"/>
  <c r="AE20" i="5" s="1"/>
  <c r="AF57" i="45"/>
  <c r="AF58" i="45" s="1"/>
  <c r="AD20" i="5" s="1"/>
  <c r="AE57" i="45"/>
  <c r="AE58" i="45" s="1"/>
  <c r="AC20" i="5" s="1"/>
  <c r="AD57" i="45"/>
  <c r="AD58" i="45" s="1"/>
  <c r="AB20" i="5" s="1"/>
  <c r="AC57" i="45"/>
  <c r="AC58" i="45" s="1"/>
  <c r="AA20" i="5" s="1"/>
  <c r="AB57" i="45"/>
  <c r="AB58" i="45" s="1"/>
  <c r="Z20" i="5" s="1"/>
  <c r="AA57" i="45"/>
  <c r="AA58" i="45" s="1"/>
  <c r="Y20" i="5" s="1"/>
  <c r="Z57" i="45"/>
  <c r="Z58" i="45" s="1"/>
  <c r="X20" i="5" s="1"/>
  <c r="Y57" i="45"/>
  <c r="Y58" i="45" s="1"/>
  <c r="W20" i="5" s="1"/>
  <c r="X57" i="45"/>
  <c r="X58" i="45" s="1"/>
  <c r="V20" i="5" s="1"/>
  <c r="W57" i="45"/>
  <c r="W58" i="45" s="1"/>
  <c r="U20" i="5" s="1"/>
  <c r="V57" i="45"/>
  <c r="V58" i="45" s="1"/>
  <c r="T20" i="5" s="1"/>
  <c r="U57" i="45"/>
  <c r="U58" i="45" s="1"/>
  <c r="S20" i="5" s="1"/>
  <c r="T57" i="45"/>
  <c r="S57" i="45"/>
  <c r="R57" i="45"/>
  <c r="AN52" i="45"/>
  <c r="AN53" i="45" s="1"/>
  <c r="AL9" i="5" s="1"/>
  <c r="AM52" i="45"/>
  <c r="AM53" i="45" s="1"/>
  <c r="AK9" i="5" s="1"/>
  <c r="AL52" i="45"/>
  <c r="AL53" i="45" s="1"/>
  <c r="AJ9" i="5" s="1"/>
  <c r="AK52" i="45"/>
  <c r="AK53" i="45" s="1"/>
  <c r="AI9" i="5" s="1"/>
  <c r="AJ52" i="45"/>
  <c r="AJ53" i="45" s="1"/>
  <c r="AH9" i="5" s="1"/>
  <c r="AH4" i="5" s="1"/>
  <c r="AI52" i="45"/>
  <c r="AI53" i="45" s="1"/>
  <c r="AG9" i="5" s="1"/>
  <c r="AG4" i="5" s="1"/>
  <c r="AH52" i="45"/>
  <c r="AH53" i="45" s="1"/>
  <c r="AF9" i="5" s="1"/>
  <c r="AF4" i="5" s="1"/>
  <c r="AF13" i="25" s="1"/>
  <c r="AG52" i="45"/>
  <c r="AG53" i="45" s="1"/>
  <c r="AE9" i="5" s="1"/>
  <c r="AE4" i="5" s="1"/>
  <c r="AF52" i="45"/>
  <c r="AF53" i="45" s="1"/>
  <c r="AD9" i="5" s="1"/>
  <c r="AE52" i="45"/>
  <c r="AE53" i="45" s="1"/>
  <c r="AC9" i="5" s="1"/>
  <c r="AD52" i="45"/>
  <c r="AD53" i="45" s="1"/>
  <c r="AB9" i="5" s="1"/>
  <c r="AC52" i="45"/>
  <c r="AC53" i="45" s="1"/>
  <c r="AA9" i="5" s="1"/>
  <c r="AB52" i="45"/>
  <c r="AB53" i="45" s="1"/>
  <c r="Z9" i="5" s="1"/>
  <c r="Z4" i="5" s="1"/>
  <c r="AA52" i="45"/>
  <c r="AA53" i="45" s="1"/>
  <c r="Y9" i="5" s="1"/>
  <c r="Y4" i="5" s="1"/>
  <c r="Z52" i="45"/>
  <c r="Z53" i="45" s="1"/>
  <c r="X9" i="5" s="1"/>
  <c r="X4" i="5" s="1"/>
  <c r="X13" i="25" s="1"/>
  <c r="Y52" i="45"/>
  <c r="Y53" i="45" s="1"/>
  <c r="W9" i="5" s="1"/>
  <c r="W4" i="5" s="1"/>
  <c r="X52" i="45"/>
  <c r="X53" i="45" s="1"/>
  <c r="V9" i="5" s="1"/>
  <c r="W52" i="45"/>
  <c r="W53" i="45" s="1"/>
  <c r="U9" i="5" s="1"/>
  <c r="V52" i="45"/>
  <c r="V53" i="45" s="1"/>
  <c r="T9" i="5" s="1"/>
  <c r="U52" i="45"/>
  <c r="U53" i="45" s="1"/>
  <c r="S9" i="5" s="1"/>
  <c r="T52" i="45"/>
  <c r="S52" i="45"/>
  <c r="R52" i="45"/>
  <c r="E43" i="45"/>
  <c r="AN31" i="45"/>
  <c r="AM69" i="28" s="1"/>
  <c r="Q31" i="45"/>
  <c r="P69" i="28" s="1"/>
  <c r="N31" i="45"/>
  <c r="M69" i="28" s="1"/>
  <c r="M31" i="45"/>
  <c r="K31" i="45"/>
  <c r="J69" i="28" s="1"/>
  <c r="AN27" i="45"/>
  <c r="AM60" i="28" s="1"/>
  <c r="N27" i="45"/>
  <c r="M60" i="28" s="1"/>
  <c r="M27" i="45"/>
  <c r="L60" i="28" s="1"/>
  <c r="K27" i="45"/>
  <c r="J60" i="28" s="1"/>
  <c r="O23" i="45"/>
  <c r="N10" i="28" s="1"/>
  <c r="M35" i="50"/>
  <c r="M36" i="50"/>
  <c r="M30" i="50"/>
  <c r="N18" i="5" s="1"/>
  <c r="M31" i="50"/>
  <c r="N21" i="5" s="1"/>
  <c r="M46" i="50" s="1"/>
  <c r="L20" i="50"/>
  <c r="M20" i="50"/>
  <c r="L35" i="50"/>
  <c r="L36" i="50"/>
  <c r="L30" i="50"/>
  <c r="M18" i="5" s="1"/>
  <c r="L45" i="50" s="1"/>
  <c r="L31" i="50"/>
  <c r="M21" i="5" s="1"/>
  <c r="L46" i="50" s="1"/>
  <c r="CH17" i="51"/>
  <c r="CH18" i="51"/>
  <c r="CH19" i="51"/>
  <c r="CH20" i="51"/>
  <c r="J419" i="44"/>
  <c r="J418" i="44"/>
  <c r="J417" i="44"/>
  <c r="N470" i="64" s="1"/>
  <c r="J416" i="44"/>
  <c r="J415" i="44"/>
  <c r="J414" i="44"/>
  <c r="J413" i="44"/>
  <c r="J412" i="44"/>
  <c r="J410" i="44"/>
  <c r="J409" i="44"/>
  <c r="J408" i="44"/>
  <c r="J407" i="44"/>
  <c r="J406" i="44"/>
  <c r="J405" i="44"/>
  <c r="J404" i="44"/>
  <c r="J403" i="44"/>
  <c r="J402" i="44"/>
  <c r="J401" i="44"/>
  <c r="CI11" i="51" s="1"/>
  <c r="J400" i="44"/>
  <c r="CI10" i="51" s="1"/>
  <c r="J399" i="44"/>
  <c r="CI17" i="51"/>
  <c r="CI18" i="51"/>
  <c r="AN54" i="55"/>
  <c r="AO54" i="55"/>
  <c r="AQ54" i="55"/>
  <c r="AN55" i="55"/>
  <c r="AO55" i="55"/>
  <c r="AQ55" i="55"/>
  <c r="AN56" i="55"/>
  <c r="AO56" i="55"/>
  <c r="AQ56" i="55"/>
  <c r="AN57" i="55"/>
  <c r="AO57" i="55"/>
  <c r="AQ57" i="55"/>
  <c r="AN58" i="55"/>
  <c r="AO58" i="55"/>
  <c r="AQ58" i="55"/>
  <c r="AN59" i="55"/>
  <c r="AO59" i="55"/>
  <c r="AQ59" i="55"/>
  <c r="AN60" i="55"/>
  <c r="AO60" i="55"/>
  <c r="AQ60" i="55"/>
  <c r="AN61" i="55"/>
  <c r="AO61" i="55"/>
  <c r="AQ61" i="55"/>
  <c r="AN62" i="55"/>
  <c r="AO62" i="55"/>
  <c r="AQ62" i="55"/>
  <c r="AN63" i="55"/>
  <c r="AO63" i="55"/>
  <c r="AQ63" i="55"/>
  <c r="AN64" i="55"/>
  <c r="AO64" i="55"/>
  <c r="AQ64" i="55"/>
  <c r="AN65" i="55"/>
  <c r="AO65" i="55"/>
  <c r="AQ65" i="55"/>
  <c r="AQ66" i="55"/>
  <c r="AO66" i="55"/>
  <c r="AN66" i="55"/>
  <c r="AP66" i="55"/>
  <c r="AP65" i="55"/>
  <c r="AP64" i="55"/>
  <c r="AP63" i="55"/>
  <c r="AP62" i="55"/>
  <c r="AP61" i="55"/>
  <c r="AP60" i="55"/>
  <c r="AP59" i="55"/>
  <c r="AP58" i="55"/>
  <c r="AP57" i="55"/>
  <c r="AP56" i="55"/>
  <c r="AP55" i="55"/>
  <c r="AP54" i="55"/>
  <c r="D20" i="55"/>
  <c r="D19" i="55"/>
  <c r="D17" i="55"/>
  <c r="D18" i="55"/>
  <c r="AH11" i="55"/>
  <c r="AH12" i="55"/>
  <c r="AH14" i="55"/>
  <c r="AI11" i="55"/>
  <c r="AI12" i="55"/>
  <c r="AI14" i="55"/>
  <c r="AJ11" i="55"/>
  <c r="AJ12" i="55"/>
  <c r="AJ14" i="55"/>
  <c r="AK11" i="55"/>
  <c r="AK12" i="55"/>
  <c r="AK14" i="55"/>
  <c r="AL11" i="55"/>
  <c r="AL12" i="55"/>
  <c r="AL14" i="55"/>
  <c r="AM11" i="55"/>
  <c r="AM12" i="55"/>
  <c r="AM14" i="55"/>
  <c r="AN11" i="55"/>
  <c r="AN12" i="55"/>
  <c r="AN14" i="55"/>
  <c r="AO11" i="55"/>
  <c r="AO12" i="55"/>
  <c r="AO14" i="55"/>
  <c r="AP11" i="55"/>
  <c r="AP12" i="55"/>
  <c r="AP14" i="55"/>
  <c r="AQ11" i="55"/>
  <c r="AQ12" i="55"/>
  <c r="AQ14" i="55"/>
  <c r="AR11" i="55"/>
  <c r="AR12" i="55"/>
  <c r="AR14" i="55"/>
  <c r="AS11" i="55"/>
  <c r="AS12" i="55"/>
  <c r="AS14" i="55"/>
  <c r="AT11" i="55"/>
  <c r="AT12" i="55"/>
  <c r="AT14" i="55"/>
  <c r="AU11" i="55"/>
  <c r="AU12" i="55"/>
  <c r="AU14" i="55"/>
  <c r="AV14" i="55"/>
  <c r="AV12" i="55"/>
  <c r="AV6" i="55"/>
  <c r="AV7" i="55"/>
  <c r="AV9" i="55"/>
  <c r="AV8" i="55"/>
  <c r="AS8" i="55"/>
  <c r="AR8" i="55"/>
  <c r="AQ8" i="55"/>
  <c r="AP8" i="55"/>
  <c r="AO8" i="55"/>
  <c r="AN8" i="55"/>
  <c r="AM8" i="55"/>
  <c r="AL8" i="55"/>
  <c r="AK8" i="55"/>
  <c r="AJ8" i="55"/>
  <c r="AI8" i="55"/>
  <c r="AH8" i="55"/>
  <c r="V9" i="55"/>
  <c r="CI16" i="51"/>
  <c r="CI12" i="51"/>
  <c r="CI9" i="51"/>
  <c r="J397" i="44"/>
  <c r="C394" i="44"/>
  <c r="C395" i="44" s="1"/>
  <c r="J395" i="44" s="1"/>
  <c r="BY17" i="51"/>
  <c r="L69" i="28"/>
  <c r="N69" i="28"/>
  <c r="Q60" i="28"/>
  <c r="P60" i="28"/>
  <c r="O60" i="28"/>
  <c r="N60" i="28"/>
  <c r="AM10" i="28"/>
  <c r="AL10" i="28"/>
  <c r="AK10" i="28"/>
  <c r="AJ10" i="28"/>
  <c r="AI10" i="28"/>
  <c r="AH10" i="28"/>
  <c r="AG10" i="28"/>
  <c r="AF10" i="28"/>
  <c r="AE10" i="28"/>
  <c r="AD10" i="28"/>
  <c r="AC10" i="28"/>
  <c r="AB10" i="28"/>
  <c r="AA10" i="28"/>
  <c r="Z10" i="28"/>
  <c r="Y10" i="28"/>
  <c r="X10" i="28"/>
  <c r="W10" i="28"/>
  <c r="V10" i="28"/>
  <c r="U10" i="28"/>
  <c r="T10" i="28"/>
  <c r="R10" i="28"/>
  <c r="Q10" i="28"/>
  <c r="P10" i="28"/>
  <c r="O10" i="28"/>
  <c r="M10" i="28"/>
  <c r="L10" i="28"/>
  <c r="K10" i="28"/>
  <c r="J10" i="28"/>
  <c r="I10" i="28"/>
  <c r="H10" i="28"/>
  <c r="G10" i="28"/>
  <c r="F10" i="28"/>
  <c r="E10" i="28"/>
  <c r="O22" i="45"/>
  <c r="T23" i="45" s="1"/>
  <c r="T26" i="45"/>
  <c r="O26" i="45"/>
  <c r="T27" i="45" s="1"/>
  <c r="S60" i="28" s="1"/>
  <c r="T30" i="45"/>
  <c r="O30" i="45"/>
  <c r="T31" i="45" s="1"/>
  <c r="S69" i="28" s="1"/>
  <c r="I7" i="47"/>
  <c r="AG9" i="55"/>
  <c r="AF9" i="55"/>
  <c r="AG8" i="55"/>
  <c r="AF8" i="55"/>
  <c r="AG11" i="55"/>
  <c r="AG12" i="55"/>
  <c r="AF11" i="55"/>
  <c r="AF12" i="55"/>
  <c r="AE9" i="55"/>
  <c r="AG14" i="55"/>
  <c r="AF14" i="55"/>
  <c r="C20" i="50"/>
  <c r="M33" i="5"/>
  <c r="L33" i="5"/>
  <c r="K33" i="5"/>
  <c r="J33" i="5"/>
  <c r="I33" i="5"/>
  <c r="H33" i="5"/>
  <c r="G33" i="5"/>
  <c r="I18" i="64"/>
  <c r="J17" i="64"/>
  <c r="K17" i="64" s="1"/>
  <c r="L17" i="64" s="1"/>
  <c r="M17" i="64" s="1"/>
  <c r="J16" i="64"/>
  <c r="K16" i="64"/>
  <c r="L16" i="64" s="1"/>
  <c r="M16" i="64" s="1"/>
  <c r="J15" i="64"/>
  <c r="K15" i="64"/>
  <c r="L15" i="64" s="1"/>
  <c r="M15" i="64" s="1"/>
  <c r="J14" i="64"/>
  <c r="K14" i="64" s="1"/>
  <c r="L14" i="64" s="1"/>
  <c r="M14" i="64" s="1"/>
  <c r="J13" i="64"/>
  <c r="K13" i="64" s="1"/>
  <c r="L13" i="64" s="1"/>
  <c r="M13" i="64" s="1"/>
  <c r="J12" i="64"/>
  <c r="K12" i="64" s="1"/>
  <c r="L12" i="64" s="1"/>
  <c r="M12" i="64" s="1"/>
  <c r="J11" i="64"/>
  <c r="K11" i="64"/>
  <c r="L11" i="64" s="1"/>
  <c r="M11" i="64" s="1"/>
  <c r="J10" i="64"/>
  <c r="K10" i="64" s="1"/>
  <c r="L10" i="64" s="1"/>
  <c r="M10" i="64" s="1"/>
  <c r="J9" i="64"/>
  <c r="K9" i="64" s="1"/>
  <c r="L9" i="64" s="1"/>
  <c r="M9" i="64" s="1"/>
  <c r="J8" i="64"/>
  <c r="K8" i="64" s="1"/>
  <c r="L8" i="64" s="1"/>
  <c r="E27" i="47"/>
  <c r="E26" i="47"/>
  <c r="AO18" i="55" a="1"/>
  <c r="AO18" i="55"/>
  <c r="AN18" i="55" a="1"/>
  <c r="AN18" i="55"/>
  <c r="AO20" i="55"/>
  <c r="AO19" i="55"/>
  <c r="AO21" i="55"/>
  <c r="AP18" i="55"/>
  <c r="AN21" i="55"/>
  <c r="AQ18" i="55"/>
  <c r="AN20" i="55"/>
  <c r="AN19" i="55"/>
  <c r="J396" i="44"/>
  <c r="BY16" i="51"/>
  <c r="AP21" i="55"/>
  <c r="AQ19" i="55"/>
  <c r="AP19" i="55"/>
  <c r="AP20" i="55"/>
  <c r="AQ20" i="55"/>
  <c r="AQ21" i="55"/>
  <c r="E17" i="55"/>
  <c r="AA9" i="55"/>
  <c r="AB8" i="55"/>
  <c r="X8" i="55"/>
  <c r="AE8" i="55"/>
  <c r="AD8" i="55"/>
  <c r="AC8" i="55"/>
  <c r="AA8" i="55"/>
  <c r="Z8" i="55"/>
  <c r="Y8" i="55"/>
  <c r="AD9" i="55"/>
  <c r="Z9" i="55"/>
  <c r="AN39" i="55" a="1"/>
  <c r="AN39" i="55"/>
  <c r="AN45" i="55"/>
  <c r="AN50" i="55"/>
  <c r="AN47" i="55"/>
  <c r="AN44" i="55"/>
  <c r="AN48" i="55"/>
  <c r="AN46" i="55"/>
  <c r="AN43" i="55"/>
  <c r="AN49" i="55"/>
  <c r="AN42" i="55"/>
  <c r="AN40" i="55"/>
  <c r="AN41" i="55"/>
  <c r="V8" i="55"/>
  <c r="AO39" i="55" a="1"/>
  <c r="E19" i="55"/>
  <c r="W8" i="55"/>
  <c r="W9" i="55"/>
  <c r="X9" i="55"/>
  <c r="AB9" i="55"/>
  <c r="Y9" i="55"/>
  <c r="AC9" i="55"/>
  <c r="AO39" i="55"/>
  <c r="AO46" i="55"/>
  <c r="AP46" i="55"/>
  <c r="AO44" i="55"/>
  <c r="AP44" i="55"/>
  <c r="AO45" i="55"/>
  <c r="AP45" i="55"/>
  <c r="AO50" i="55"/>
  <c r="AO49" i="55"/>
  <c r="AQ49" i="55"/>
  <c r="AO40" i="55"/>
  <c r="AP40" i="55"/>
  <c r="AO47" i="55"/>
  <c r="AP47" i="55"/>
  <c r="AO41" i="55"/>
  <c r="AP41" i="55"/>
  <c r="AO43" i="55"/>
  <c r="AP43" i="55"/>
  <c r="AO48" i="55"/>
  <c r="AP48" i="55"/>
  <c r="AO42" i="55"/>
  <c r="AP42" i="55"/>
  <c r="AQ39" i="55"/>
  <c r="AN51" i="55"/>
  <c r="AQ44" i="55"/>
  <c r="AQ42" i="55"/>
  <c r="AQ46" i="55"/>
  <c r="AO51" i="55"/>
  <c r="AP51" i="55"/>
  <c r="AP39" i="55"/>
  <c r="AQ45" i="55"/>
  <c r="AQ47" i="55"/>
  <c r="AQ40" i="55"/>
  <c r="AQ43" i="55"/>
  <c r="AQ48" i="55"/>
  <c r="AQ50" i="55"/>
  <c r="AQ41" i="55"/>
  <c r="S24" i="33"/>
  <c r="AQ51" i="55"/>
  <c r="J393" i="44"/>
  <c r="N17" i="64" s="1"/>
  <c r="P30" i="45"/>
  <c r="P31" i="45" s="1"/>
  <c r="O69" i="28" s="1"/>
  <c r="AL30" i="5"/>
  <c r="AK30" i="5"/>
  <c r="AI30" i="5"/>
  <c r="AH30" i="5"/>
  <c r="AG30" i="5"/>
  <c r="AF30" i="5"/>
  <c r="AE30" i="5"/>
  <c r="AD30" i="5"/>
  <c r="AC30" i="5"/>
  <c r="AB30" i="5"/>
  <c r="AA30" i="5"/>
  <c r="Z30" i="5"/>
  <c r="Y30" i="5"/>
  <c r="X30" i="5"/>
  <c r="W30" i="5"/>
  <c r="V30" i="5"/>
  <c r="U30" i="5"/>
  <c r="T30" i="5"/>
  <c r="S30" i="5"/>
  <c r="R30" i="5"/>
  <c r="Q30" i="5"/>
  <c r="P30" i="5"/>
  <c r="O30" i="5"/>
  <c r="N30" i="5"/>
  <c r="F30" i="5"/>
  <c r="E30" i="5"/>
  <c r="D30" i="5"/>
  <c r="AJ30" i="5"/>
  <c r="J392" i="44"/>
  <c r="P8" i="33"/>
  <c r="J30" i="5"/>
  <c r="K30" i="5"/>
  <c r="L30" i="5"/>
  <c r="I30" i="5"/>
  <c r="G30" i="5"/>
  <c r="H30" i="5"/>
  <c r="M30" i="5"/>
  <c r="C30" i="5"/>
  <c r="F52" i="50"/>
  <c r="F51" i="50"/>
  <c r="BY12" i="51"/>
  <c r="BZ9" i="51"/>
  <c r="CA9" i="51" s="1"/>
  <c r="CC9" i="51" s="1"/>
  <c r="BP18" i="51"/>
  <c r="BP20" i="51"/>
  <c r="G52" i="50"/>
  <c r="E10" i="50"/>
  <c r="BP19" i="51"/>
  <c r="BY11" i="51"/>
  <c r="BY13" i="51"/>
  <c r="BY15" i="51"/>
  <c r="BY10" i="51"/>
  <c r="BY14" i="51"/>
  <c r="BP17" i="51"/>
  <c r="BY9" i="51"/>
  <c r="J391" i="44"/>
  <c r="J390" i="44"/>
  <c r="N9" i="64" s="1"/>
  <c r="J389" i="44"/>
  <c r="N8" i="64" s="1"/>
  <c r="J388" i="44"/>
  <c r="J387" i="44"/>
  <c r="BZ10" i="51" s="1"/>
  <c r="CA10" i="51" s="1"/>
  <c r="CC10" i="51" s="1"/>
  <c r="J386" i="44"/>
  <c r="J384" i="44"/>
  <c r="J9" i="50"/>
  <c r="G9" i="50"/>
  <c r="H9" i="50"/>
  <c r="K44" i="5"/>
  <c r="J44" i="5"/>
  <c r="C5" i="50"/>
  <c r="E5" i="50"/>
  <c r="J383" i="44"/>
  <c r="D23" i="46" s="1"/>
  <c r="E23" i="46" s="1"/>
  <c r="K29" i="46" s="1"/>
  <c r="L44" i="5" s="1"/>
  <c r="J382" i="44"/>
  <c r="J381" i="44"/>
  <c r="G12" i="55"/>
  <c r="H11" i="55"/>
  <c r="H12" i="55"/>
  <c r="D11" i="55"/>
  <c r="E11" i="55"/>
  <c r="F11" i="55"/>
  <c r="K9" i="55"/>
  <c r="J9" i="55"/>
  <c r="I9" i="55"/>
  <c r="H9" i="55"/>
  <c r="G9" i="55"/>
  <c r="K8" i="55"/>
  <c r="J8" i="55"/>
  <c r="I8" i="55"/>
  <c r="H8" i="55"/>
  <c r="G8" i="55"/>
  <c r="AN24" i="55" a="1"/>
  <c r="AO24" i="55" a="1"/>
  <c r="E18" i="55"/>
  <c r="F7" i="55"/>
  <c r="Q8" i="55"/>
  <c r="T8" i="55"/>
  <c r="U8" i="55"/>
  <c r="C9" i="55"/>
  <c r="I11" i="55"/>
  <c r="I12" i="55"/>
  <c r="G14" i="55"/>
  <c r="D8" i="55"/>
  <c r="N8" i="55"/>
  <c r="R8" i="55"/>
  <c r="H14" i="55"/>
  <c r="P8" i="55"/>
  <c r="D9" i="55"/>
  <c r="M9" i="55"/>
  <c r="U9" i="55"/>
  <c r="N9" i="55"/>
  <c r="R9" i="55"/>
  <c r="O8" i="55"/>
  <c r="S8" i="55"/>
  <c r="L8" i="55"/>
  <c r="P9" i="55"/>
  <c r="I14" i="55"/>
  <c r="E8" i="55"/>
  <c r="O9" i="55"/>
  <c r="S9" i="55"/>
  <c r="M8" i="55"/>
  <c r="Q9" i="55"/>
  <c r="L9" i="55"/>
  <c r="T9" i="55"/>
  <c r="AO24" i="55"/>
  <c r="AO34" i="55"/>
  <c r="AO25" i="55"/>
  <c r="AO28" i="55"/>
  <c r="AP28" i="55"/>
  <c r="AO31" i="55"/>
  <c r="AO33" i="55"/>
  <c r="AO30" i="55"/>
  <c r="AO35" i="55"/>
  <c r="AP35" i="55"/>
  <c r="AO27" i="55"/>
  <c r="AO29" i="55"/>
  <c r="AO32" i="55"/>
  <c r="AO26" i="55"/>
  <c r="AN24" i="55"/>
  <c r="AQ24" i="55"/>
  <c r="AN34" i="55"/>
  <c r="AQ34" i="55"/>
  <c r="AN29" i="55"/>
  <c r="AQ29" i="55"/>
  <c r="AN32" i="55"/>
  <c r="AQ32" i="55"/>
  <c r="AN28" i="55"/>
  <c r="AN30" i="55"/>
  <c r="AN25" i="55"/>
  <c r="AN26" i="55"/>
  <c r="AQ26" i="55"/>
  <c r="AN35" i="55"/>
  <c r="AN27" i="55"/>
  <c r="AQ27" i="55"/>
  <c r="AN33" i="55"/>
  <c r="AQ33" i="55"/>
  <c r="AN31" i="55"/>
  <c r="AQ31" i="55"/>
  <c r="J11" i="55"/>
  <c r="K11" i="55"/>
  <c r="C8" i="55"/>
  <c r="F6" i="55"/>
  <c r="F9" i="55"/>
  <c r="K12" i="55"/>
  <c r="K14" i="55"/>
  <c r="L11" i="55"/>
  <c r="E9" i="55"/>
  <c r="AQ30" i="55"/>
  <c r="AP26" i="55"/>
  <c r="AN36" i="55"/>
  <c r="AQ25" i="55"/>
  <c r="AP32" i="55"/>
  <c r="AP30" i="55"/>
  <c r="AO36" i="55"/>
  <c r="AP36" i="55"/>
  <c r="AP25" i="55"/>
  <c r="AP29" i="55"/>
  <c r="AP33" i="55"/>
  <c r="AP34" i="55"/>
  <c r="AQ35" i="55"/>
  <c r="AQ28" i="55"/>
  <c r="AP27" i="55"/>
  <c r="AP31" i="55"/>
  <c r="AP24" i="55"/>
  <c r="J12" i="55"/>
  <c r="J14" i="55"/>
  <c r="F8" i="55"/>
  <c r="M11" i="55"/>
  <c r="L12" i="55"/>
  <c r="L14" i="55"/>
  <c r="AQ36" i="55"/>
  <c r="N11" i="55"/>
  <c r="M12" i="55"/>
  <c r="M14" i="55"/>
  <c r="O11" i="55"/>
  <c r="N12" i="55"/>
  <c r="N14" i="55"/>
  <c r="P11" i="55"/>
  <c r="O12" i="55"/>
  <c r="O14" i="55"/>
  <c r="Q11" i="55"/>
  <c r="P12" i="55"/>
  <c r="P14" i="55"/>
  <c r="R11" i="55"/>
  <c r="Q12" i="55"/>
  <c r="Q14" i="55"/>
  <c r="S11" i="55"/>
  <c r="R12" i="55"/>
  <c r="R14" i="55"/>
  <c r="T11" i="55"/>
  <c r="S12" i="55"/>
  <c r="S14" i="55"/>
  <c r="U11" i="55"/>
  <c r="V11" i="55"/>
  <c r="T12" i="55"/>
  <c r="T14" i="55"/>
  <c r="W11" i="55"/>
  <c r="V12" i="55"/>
  <c r="V14" i="55"/>
  <c r="U12" i="55"/>
  <c r="U14" i="55"/>
  <c r="X11" i="55"/>
  <c r="W12" i="55"/>
  <c r="W14" i="55"/>
  <c r="J311" i="44"/>
  <c r="J310" i="44"/>
  <c r="J309" i="44"/>
  <c r="J308" i="44"/>
  <c r="J307" i="44"/>
  <c r="J306" i="44"/>
  <c r="J305" i="44"/>
  <c r="J304" i="44"/>
  <c r="J303" i="44"/>
  <c r="J302" i="44"/>
  <c r="J301" i="44"/>
  <c r="J300" i="44"/>
  <c r="Y11" i="55"/>
  <c r="X12" i="55"/>
  <c r="X14" i="55"/>
  <c r="Z11" i="55"/>
  <c r="Y12" i="55"/>
  <c r="Y14" i="55"/>
  <c r="AA11" i="55"/>
  <c r="Z12" i="55"/>
  <c r="Z14" i="55"/>
  <c r="AB11" i="55"/>
  <c r="AA12" i="55"/>
  <c r="E29" i="51"/>
  <c r="AA14" i="55"/>
  <c r="AC11" i="55"/>
  <c r="AB12" i="55"/>
  <c r="AB14" i="55"/>
  <c r="BO21" i="51"/>
  <c r="BI16" i="51"/>
  <c r="BK16" i="51"/>
  <c r="BG17" i="51"/>
  <c r="AD11" i="55"/>
  <c r="AC12" i="55"/>
  <c r="AC14" i="55"/>
  <c r="BG19" i="51"/>
  <c r="BG18" i="51"/>
  <c r="BP15" i="51"/>
  <c r="BF21" i="51"/>
  <c r="BG20" i="51"/>
  <c r="BN21" i="51"/>
  <c r="BP16" i="51"/>
  <c r="BE21" i="51"/>
  <c r="BP10" i="51"/>
  <c r="BP12" i="51"/>
  <c r="BP14" i="51"/>
  <c r="BP11" i="51"/>
  <c r="BP13" i="51"/>
  <c r="BP9" i="51"/>
  <c r="BG21" i="51"/>
  <c r="AE11" i="55"/>
  <c r="AE12" i="55"/>
  <c r="AE14" i="55"/>
  <c r="AD12" i="55"/>
  <c r="BP21" i="51"/>
  <c r="AD14" i="55"/>
  <c r="E33" i="51"/>
  <c r="E32" i="51"/>
  <c r="E31" i="51"/>
  <c r="E30" i="51"/>
  <c r="H13" i="28"/>
  <c r="J380" i="44"/>
  <c r="BQ16" i="51" s="1"/>
  <c r="BR16" i="51" s="1"/>
  <c r="BT16" i="51" s="1"/>
  <c r="J379" i="44"/>
  <c r="J378" i="44"/>
  <c r="J377" i="44"/>
  <c r="J376" i="44"/>
  <c r="J375" i="44"/>
  <c r="BQ11" i="51" s="1"/>
  <c r="BR11" i="51" s="1"/>
  <c r="BT11" i="51" s="1"/>
  <c r="J374" i="44"/>
  <c r="J373" i="44"/>
  <c r="J363" i="44"/>
  <c r="N78" i="64" s="1"/>
  <c r="J362" i="44"/>
  <c r="BH19" i="51" s="1"/>
  <c r="BI19" i="51" s="1"/>
  <c r="BK19" i="51" s="1"/>
  <c r="J361" i="44"/>
  <c r="BH18" i="51" s="1"/>
  <c r="BI18" i="51" s="1"/>
  <c r="BK18" i="51" s="1"/>
  <c r="J360" i="44"/>
  <c r="BH17" i="51" s="1"/>
  <c r="BI17" i="51" s="1"/>
  <c r="J359" i="44"/>
  <c r="J358" i="44"/>
  <c r="J357" i="44"/>
  <c r="J356" i="44"/>
  <c r="J355" i="44"/>
  <c r="J354" i="44"/>
  <c r="E35" i="45"/>
  <c r="K4" i="5"/>
  <c r="J4" i="5"/>
  <c r="J13" i="25" s="1"/>
  <c r="I4" i="5"/>
  <c r="H4" i="5"/>
  <c r="H13" i="25" s="1"/>
  <c r="G4" i="5"/>
  <c r="G13" i="27" s="1"/>
  <c r="F4" i="5"/>
  <c r="F13" i="27" s="1"/>
  <c r="E4" i="5"/>
  <c r="E13" i="25" s="1"/>
  <c r="L4" i="5"/>
  <c r="AM14" i="28"/>
  <c r="AM5" i="29" s="1"/>
  <c r="AL14" i="28"/>
  <c r="AK14" i="28"/>
  <c r="AK5" i="29" s="1"/>
  <c r="AJ14" i="28"/>
  <c r="AJ5" i="29" s="1"/>
  <c r="AI14" i="28"/>
  <c r="AI5" i="29" s="1"/>
  <c r="AH14" i="28"/>
  <c r="AG14" i="28"/>
  <c r="AF14" i="28"/>
  <c r="AF5" i="29" s="1"/>
  <c r="AE14" i="28"/>
  <c r="AE5" i="29" s="1"/>
  <c r="AD14" i="28"/>
  <c r="AC14" i="28"/>
  <c r="AC5" i="29" s="1"/>
  <c r="AB14" i="28"/>
  <c r="AB5" i="29" s="1"/>
  <c r="AA14" i="28"/>
  <c r="AA5" i="29" s="1"/>
  <c r="Z14" i="28"/>
  <c r="Y14" i="28"/>
  <c r="X14" i="28"/>
  <c r="X5" i="29" s="1"/>
  <c r="W14" i="28"/>
  <c r="W5" i="29" s="1"/>
  <c r="V14" i="28"/>
  <c r="U14" i="28"/>
  <c r="T14" i="28"/>
  <c r="T5" i="29" s="1"/>
  <c r="S14" i="28"/>
  <c r="S5" i="29" s="1"/>
  <c r="R14" i="28"/>
  <c r="Q14" i="28"/>
  <c r="P14" i="28"/>
  <c r="P5" i="29" s="1"/>
  <c r="O14" i="28"/>
  <c r="O5" i="29" s="1"/>
  <c r="L14" i="28"/>
  <c r="K14" i="28"/>
  <c r="K5" i="29" s="1"/>
  <c r="J14" i="28"/>
  <c r="J5" i="29" s="1"/>
  <c r="I14" i="28"/>
  <c r="I5" i="29" s="1"/>
  <c r="H14" i="28"/>
  <c r="G14" i="28"/>
  <c r="G5" i="29" s="1"/>
  <c r="F23" i="28"/>
  <c r="F14" i="28" s="1"/>
  <c r="F5" i="29" s="1"/>
  <c r="E23" i="28"/>
  <c r="M14" i="28"/>
  <c r="M5" i="29" s="1"/>
  <c r="AI4" i="5"/>
  <c r="AC4" i="5"/>
  <c r="AA4" i="5"/>
  <c r="U4" i="5"/>
  <c r="S4" i="5"/>
  <c r="R4" i="5"/>
  <c r="Q4" i="5"/>
  <c r="P4" i="5"/>
  <c r="O4" i="5"/>
  <c r="M4" i="5"/>
  <c r="N14" i="28"/>
  <c r="N5" i="29" s="1"/>
  <c r="G14" i="40"/>
  <c r="A14" i="40"/>
  <c r="Q67" i="45"/>
  <c r="P11" i="28" s="1"/>
  <c r="O67" i="45"/>
  <c r="N11" i="28" s="1"/>
  <c r="N46" i="45"/>
  <c r="R47" i="45" s="1"/>
  <c r="V48" i="45" s="1"/>
  <c r="U57" i="28" s="1"/>
  <c r="AN12" i="45"/>
  <c r="AM67" i="28" s="1"/>
  <c r="AF12" i="45"/>
  <c r="AE67" i="28" s="1"/>
  <c r="V12" i="45"/>
  <c r="U67" i="28" s="1"/>
  <c r="AN5" i="45"/>
  <c r="AI5" i="45"/>
  <c r="AD5" i="45"/>
  <c r="Y5" i="45"/>
  <c r="T5" i="45"/>
  <c r="O5" i="45"/>
  <c r="E20" i="50"/>
  <c r="E90" i="47"/>
  <c r="E89" i="47"/>
  <c r="E88" i="47"/>
  <c r="E87" i="47"/>
  <c r="E86" i="47"/>
  <c r="E85" i="47"/>
  <c r="E84" i="47"/>
  <c r="E83" i="47"/>
  <c r="E82" i="47"/>
  <c r="E81" i="47"/>
  <c r="E80" i="47"/>
  <c r="E79" i="47"/>
  <c r="E75" i="47"/>
  <c r="E74" i="47"/>
  <c r="H73" i="47"/>
  <c r="E73" i="47"/>
  <c r="E72" i="47"/>
  <c r="E71" i="47"/>
  <c r="I71" i="47"/>
  <c r="E70" i="47"/>
  <c r="H69" i="47"/>
  <c r="E69" i="47"/>
  <c r="E68" i="47"/>
  <c r="E67" i="47"/>
  <c r="E66" i="47"/>
  <c r="E65" i="47"/>
  <c r="E64" i="47"/>
  <c r="E76" i="47"/>
  <c r="E60" i="47"/>
  <c r="E59" i="47"/>
  <c r="H58" i="47"/>
  <c r="E58" i="47"/>
  <c r="E57" i="47"/>
  <c r="E56" i="47"/>
  <c r="E55" i="47"/>
  <c r="H54" i="47"/>
  <c r="E54" i="47"/>
  <c r="E53" i="47"/>
  <c r="E52" i="47"/>
  <c r="E51" i="47"/>
  <c r="H50" i="47"/>
  <c r="E50" i="47"/>
  <c r="E49" i="47"/>
  <c r="E45" i="47"/>
  <c r="E44" i="47"/>
  <c r="E43" i="47"/>
  <c r="E42" i="47"/>
  <c r="E41" i="47"/>
  <c r="E40" i="47"/>
  <c r="E39" i="47"/>
  <c r="E38" i="47"/>
  <c r="E37" i="47"/>
  <c r="E36" i="47"/>
  <c r="E35" i="47"/>
  <c r="E30" i="47"/>
  <c r="E29" i="47"/>
  <c r="E28" i="47"/>
  <c r="I27" i="47"/>
  <c r="E25" i="47"/>
  <c r="E24" i="47"/>
  <c r="E23" i="47"/>
  <c r="E22" i="47"/>
  <c r="E21" i="47"/>
  <c r="E20" i="47"/>
  <c r="E19" i="47"/>
  <c r="E15" i="47"/>
  <c r="E14" i="47"/>
  <c r="E13" i="47"/>
  <c r="E12" i="47"/>
  <c r="E11" i="47"/>
  <c r="E10" i="47"/>
  <c r="E9" i="47"/>
  <c r="E8" i="47"/>
  <c r="E7" i="47"/>
  <c r="E6" i="47"/>
  <c r="E5" i="47"/>
  <c r="E4" i="47"/>
  <c r="H24" i="47"/>
  <c r="H39" i="47"/>
  <c r="H12" i="47"/>
  <c r="I15" i="47"/>
  <c r="F46" i="47"/>
  <c r="I12" i="47"/>
  <c r="H38" i="47"/>
  <c r="I5" i="47"/>
  <c r="H6" i="47"/>
  <c r="I9" i="47"/>
  <c r="I21" i="47"/>
  <c r="H22" i="47"/>
  <c r="H26" i="47"/>
  <c r="H19" i="47"/>
  <c r="F16" i="47"/>
  <c r="I29" i="47"/>
  <c r="H30" i="47"/>
  <c r="G46" i="47"/>
  <c r="H37" i="47"/>
  <c r="I38" i="47"/>
  <c r="I41" i="47"/>
  <c r="H42" i="47"/>
  <c r="I45" i="47"/>
  <c r="F61" i="47"/>
  <c r="I50" i="47"/>
  <c r="H53" i="47"/>
  <c r="I54" i="47"/>
  <c r="I58" i="47"/>
  <c r="F76" i="47"/>
  <c r="I67" i="47"/>
  <c r="H68" i="47"/>
  <c r="H72" i="47"/>
  <c r="I73" i="47"/>
  <c r="H79" i="47"/>
  <c r="I80" i="47"/>
  <c r="H83" i="47"/>
  <c r="I84" i="47"/>
  <c r="H87" i="47"/>
  <c r="I88" i="47"/>
  <c r="I23" i="47"/>
  <c r="I35" i="47"/>
  <c r="I39" i="47"/>
  <c r="G61" i="47"/>
  <c r="I51" i="47"/>
  <c r="I55" i="47"/>
  <c r="I59" i="47"/>
  <c r="G76" i="47"/>
  <c r="G91" i="47"/>
  <c r="H8" i="47"/>
  <c r="H10" i="47"/>
  <c r="H23" i="47"/>
  <c r="H29" i="47"/>
  <c r="H36" i="47"/>
  <c r="H52" i="47"/>
  <c r="H56" i="47"/>
  <c r="H60" i="47"/>
  <c r="H71" i="47"/>
  <c r="H75" i="47"/>
  <c r="H5" i="47"/>
  <c r="H9" i="47"/>
  <c r="I13" i="47"/>
  <c r="H14" i="47"/>
  <c r="I22" i="47"/>
  <c r="I25" i="47"/>
  <c r="H28" i="47"/>
  <c r="H35" i="47"/>
  <c r="I36" i="47"/>
  <c r="H40" i="47"/>
  <c r="I43" i="47"/>
  <c r="H44" i="47"/>
  <c r="H55" i="47"/>
  <c r="I65" i="47"/>
  <c r="H66" i="47"/>
  <c r="I69" i="47"/>
  <c r="H70" i="47"/>
  <c r="H81" i="47"/>
  <c r="H85" i="47"/>
  <c r="H89" i="47"/>
  <c r="I4" i="47"/>
  <c r="H4" i="47"/>
  <c r="I8" i="47"/>
  <c r="I11" i="47"/>
  <c r="H13" i="47"/>
  <c r="H20" i="47"/>
  <c r="I26" i="47"/>
  <c r="H27" i="47"/>
  <c r="I37" i="47"/>
  <c r="I40" i="47"/>
  <c r="I53" i="47"/>
  <c r="I57" i="47"/>
  <c r="I66" i="47"/>
  <c r="I70" i="47"/>
  <c r="I74" i="47"/>
  <c r="I81" i="47"/>
  <c r="I85" i="47"/>
  <c r="I89" i="47"/>
  <c r="E31" i="47"/>
  <c r="I19" i="47"/>
  <c r="H7" i="47"/>
  <c r="H11" i="47"/>
  <c r="H15" i="47"/>
  <c r="G16" i="47"/>
  <c r="D31" i="47"/>
  <c r="H41" i="47"/>
  <c r="E61" i="47"/>
  <c r="I49" i="47"/>
  <c r="E91" i="47"/>
  <c r="I91" i="47"/>
  <c r="I79" i="47"/>
  <c r="H21" i="47"/>
  <c r="H25" i="47"/>
  <c r="G31" i="47"/>
  <c r="F31" i="47"/>
  <c r="I10" i="47"/>
  <c r="I14" i="47"/>
  <c r="I20" i="47"/>
  <c r="I24" i="47"/>
  <c r="I28" i="47"/>
  <c r="I30" i="47"/>
  <c r="H34" i="47"/>
  <c r="I44" i="47"/>
  <c r="H45" i="47"/>
  <c r="I76" i="47"/>
  <c r="I68" i="47"/>
  <c r="I72" i="47"/>
  <c r="I83" i="47"/>
  <c r="I87" i="47"/>
  <c r="E16" i="47"/>
  <c r="I6" i="47"/>
  <c r="D16" i="47"/>
  <c r="E34" i="47"/>
  <c r="E46" i="47"/>
  <c r="D46" i="47"/>
  <c r="H46" i="47"/>
  <c r="I42" i="47"/>
  <c r="H43" i="47"/>
  <c r="I52" i="47"/>
  <c r="I56" i="47"/>
  <c r="I60" i="47"/>
  <c r="I75" i="47"/>
  <c r="I82" i="47"/>
  <c r="I86" i="47"/>
  <c r="I90" i="47"/>
  <c r="H64" i="47"/>
  <c r="H74" i="47"/>
  <c r="D76" i="47"/>
  <c r="H76" i="47"/>
  <c r="H80" i="47"/>
  <c r="H82" i="47"/>
  <c r="H84" i="47"/>
  <c r="H86" i="47"/>
  <c r="H88" i="47"/>
  <c r="H90" i="47"/>
  <c r="F91" i="47"/>
  <c r="I64" i="47"/>
  <c r="H49" i="47"/>
  <c r="H51" i="47"/>
  <c r="H57" i="47"/>
  <c r="H59" i="47"/>
  <c r="D61" i="47"/>
  <c r="H65" i="47"/>
  <c r="H67" i="47"/>
  <c r="D91" i="47"/>
  <c r="H16" i="47"/>
  <c r="I61" i="47"/>
  <c r="H61" i="47"/>
  <c r="I31" i="47"/>
  <c r="I46" i="47"/>
  <c r="H31" i="47"/>
  <c r="I16" i="47"/>
  <c r="I34" i="47"/>
  <c r="H91" i="47"/>
  <c r="W89" i="33"/>
  <c r="Y89" i="33" s="1"/>
  <c r="Z89" i="33" s="1"/>
  <c r="W90" i="33"/>
  <c r="W91" i="33" s="1"/>
  <c r="Y91" i="33" s="1"/>
  <c r="Z91" i="33" s="1"/>
  <c r="P11" i="33" s="1"/>
  <c r="P91" i="33"/>
  <c r="P90" i="33"/>
  <c r="P89" i="33"/>
  <c r="P88" i="33"/>
  <c r="Q88" i="33" s="1"/>
  <c r="P51" i="33"/>
  <c r="P50" i="33"/>
  <c r="P49" i="33"/>
  <c r="P48" i="33"/>
  <c r="O48" i="33" s="1"/>
  <c r="B1" i="33"/>
  <c r="Y208" i="33"/>
  <c r="V208" i="33"/>
  <c r="O166" i="33"/>
  <c r="O126" i="33"/>
  <c r="X91" i="33"/>
  <c r="V91" i="33"/>
  <c r="X90" i="33"/>
  <c r="V90" i="33"/>
  <c r="X89" i="33"/>
  <c r="V89" i="33"/>
  <c r="O86" i="33"/>
  <c r="S23" i="33"/>
  <c r="X12" i="33"/>
  <c r="Y12" i="33"/>
  <c r="K20" i="50"/>
  <c r="J20" i="50"/>
  <c r="I20" i="50"/>
  <c r="H20" i="50"/>
  <c r="G20" i="50"/>
  <c r="F20" i="50"/>
  <c r="D20" i="50"/>
  <c r="D10" i="50"/>
  <c r="I9" i="50"/>
  <c r="E4" i="50"/>
  <c r="K38" i="50"/>
  <c r="G38" i="50"/>
  <c r="C17" i="50"/>
  <c r="C31" i="50" s="1"/>
  <c r="D21" i="5" s="1"/>
  <c r="C46" i="50" s="1"/>
  <c r="H30" i="50"/>
  <c r="I18" i="5" s="1"/>
  <c r="H45" i="50" s="1"/>
  <c r="D16" i="50"/>
  <c r="D37" i="50" s="1"/>
  <c r="I36" i="50"/>
  <c r="E29" i="50"/>
  <c r="F15" i="5" s="1"/>
  <c r="E44" i="50" s="1"/>
  <c r="J28" i="50"/>
  <c r="K13" i="5" s="1"/>
  <c r="J43" i="50" s="1"/>
  <c r="H38" i="50"/>
  <c r="I30" i="50"/>
  <c r="J18" i="5" s="1"/>
  <c r="J36" i="50"/>
  <c r="G28" i="50"/>
  <c r="H13" i="5" s="1"/>
  <c r="K37" i="50"/>
  <c r="G30" i="50"/>
  <c r="H18" i="5" s="1"/>
  <c r="C16" i="50"/>
  <c r="C37" i="50" s="1"/>
  <c r="H36" i="50"/>
  <c r="D15" i="50"/>
  <c r="D29" i="50" s="1"/>
  <c r="E15" i="5" s="1"/>
  <c r="I35" i="50"/>
  <c r="E35" i="50"/>
  <c r="D17" i="50"/>
  <c r="D38" i="50" s="1"/>
  <c r="E37" i="50"/>
  <c r="K28" i="50"/>
  <c r="L13" i="5" s="1"/>
  <c r="I38" i="50"/>
  <c r="E31" i="50"/>
  <c r="F21" i="5" s="1"/>
  <c r="E46" i="50" s="1"/>
  <c r="J30" i="50"/>
  <c r="K18" i="5" s="1"/>
  <c r="J45" i="50" s="1"/>
  <c r="K29" i="50"/>
  <c r="L15" i="5" s="1"/>
  <c r="K44" i="50" s="1"/>
  <c r="G29" i="50"/>
  <c r="H15" i="5" s="1"/>
  <c r="G44" i="50" s="1"/>
  <c r="C15" i="50"/>
  <c r="C29" i="50" s="1"/>
  <c r="D15" i="5" s="1"/>
  <c r="C44" i="50" s="1"/>
  <c r="H35" i="50"/>
  <c r="D14" i="50"/>
  <c r="D35" i="50" s="1"/>
  <c r="C14" i="50"/>
  <c r="C28" i="50" s="1"/>
  <c r="D13" i="5" s="1"/>
  <c r="C43" i="50" s="1"/>
  <c r="E30" i="50"/>
  <c r="F18" i="5" s="1"/>
  <c r="AM66" i="28"/>
  <c r="AL66" i="28"/>
  <c r="AK66" i="28"/>
  <c r="AJ66" i="28"/>
  <c r="AI66" i="28"/>
  <c r="AH66" i="28"/>
  <c r="AG66" i="28"/>
  <c r="AF66" i="28"/>
  <c r="AE66" i="28"/>
  <c r="AD66" i="28"/>
  <c r="AC66" i="28"/>
  <c r="AB66" i="28"/>
  <c r="AA66" i="28"/>
  <c r="Z66" i="28"/>
  <c r="Y66" i="28"/>
  <c r="X66" i="28"/>
  <c r="W66" i="28"/>
  <c r="V66" i="28"/>
  <c r="U66" i="28"/>
  <c r="T66" i="28"/>
  <c r="S66" i="28"/>
  <c r="R66" i="28"/>
  <c r="Q66" i="28"/>
  <c r="P66" i="28"/>
  <c r="O66" i="28"/>
  <c r="N66" i="28"/>
  <c r="M66" i="28"/>
  <c r="L66" i="28"/>
  <c r="K66" i="28"/>
  <c r="J66" i="28"/>
  <c r="I66" i="28"/>
  <c r="H66" i="28"/>
  <c r="F66" i="28"/>
  <c r="E66" i="28"/>
  <c r="H18" i="45"/>
  <c r="E18" i="45" s="1"/>
  <c r="E17" i="45"/>
  <c r="P15" i="45"/>
  <c r="O61" i="28" s="1"/>
  <c r="K15" i="45"/>
  <c r="J61" i="28" s="1"/>
  <c r="J13" i="28"/>
  <c r="N13" i="40"/>
  <c r="M13" i="40" s="1"/>
  <c r="K13" i="40" s="1"/>
  <c r="I13" i="40" s="1"/>
  <c r="R13" i="40" s="1"/>
  <c r="N10" i="40"/>
  <c r="N11" i="40"/>
  <c r="N12" i="40"/>
  <c r="N15" i="40"/>
  <c r="O15" i="40" s="1"/>
  <c r="N16" i="40"/>
  <c r="O16" i="40" s="1"/>
  <c r="N17" i="40"/>
  <c r="O17" i="40" s="1"/>
  <c r="N18" i="40"/>
  <c r="O18" i="40" s="1"/>
  <c r="M18" i="40" s="1"/>
  <c r="N19" i="40"/>
  <c r="O19" i="40" s="1"/>
  <c r="N20" i="40"/>
  <c r="O20" i="40" s="1"/>
  <c r="N21" i="40"/>
  <c r="M21" i="40" s="1"/>
  <c r="N22" i="40"/>
  <c r="M22" i="40" s="1"/>
  <c r="N23" i="40"/>
  <c r="M23" i="40" s="1"/>
  <c r="N24" i="40"/>
  <c r="O24" i="40" s="1"/>
  <c r="N25" i="40"/>
  <c r="M25" i="40" s="1"/>
  <c r="N26" i="40"/>
  <c r="M26" i="40" s="1"/>
  <c r="N27" i="40"/>
  <c r="O27" i="40" s="1"/>
  <c r="N28" i="40"/>
  <c r="O28" i="40" s="1"/>
  <c r="N29" i="40"/>
  <c r="M29" i="40" s="1"/>
  <c r="N30" i="40"/>
  <c r="M30" i="40" s="1"/>
  <c r="N31" i="40"/>
  <c r="M31" i="40" s="1"/>
  <c r="N32" i="40"/>
  <c r="O32" i="40" s="1"/>
  <c r="N33" i="40"/>
  <c r="M33" i="40" s="1"/>
  <c r="N34" i="40"/>
  <c r="M34" i="40" s="1"/>
  <c r="N35" i="40"/>
  <c r="M35" i="40" s="1"/>
  <c r="N36" i="40"/>
  <c r="O36" i="40" s="1"/>
  <c r="N37" i="40"/>
  <c r="M37" i="40" s="1"/>
  <c r="N38" i="40"/>
  <c r="M38" i="40" s="1"/>
  <c r="N39" i="40"/>
  <c r="O39" i="40" s="1"/>
  <c r="N40" i="40"/>
  <c r="O40" i="40" s="1"/>
  <c r="N41" i="40"/>
  <c r="O41" i="40" s="1"/>
  <c r="N9" i="40"/>
  <c r="O29" i="40"/>
  <c r="M36" i="40"/>
  <c r="O33" i="40"/>
  <c r="O21" i="40"/>
  <c r="O22" i="40"/>
  <c r="O35" i="40"/>
  <c r="O13" i="40"/>
  <c r="Q56" i="22"/>
  <c r="Q55" i="22"/>
  <c r="Q54" i="22"/>
  <c r="Q53" i="22"/>
  <c r="Q52" i="22"/>
  <c r="Q51" i="22"/>
  <c r="Q50" i="22"/>
  <c r="Q49" i="22"/>
  <c r="E5" i="28"/>
  <c r="D5" i="28" s="1"/>
  <c r="E32" i="28"/>
  <c r="D32" i="28" s="1"/>
  <c r="D20" i="46"/>
  <c r="AN9" i="45"/>
  <c r="AM62" i="28" s="1"/>
  <c r="D22" i="46"/>
  <c r="E22" i="46" s="1"/>
  <c r="H29" i="46" s="1"/>
  <c r="I44" i="5" s="1"/>
  <c r="D21" i="46"/>
  <c r="E21" i="46" s="1"/>
  <c r="E20" i="46"/>
  <c r="F29" i="46" s="1"/>
  <c r="AL12" i="45"/>
  <c r="AK67" i="28" s="1"/>
  <c r="AK64" i="28" s="1"/>
  <c r="AK12" i="45"/>
  <c r="AJ67" i="28" s="1"/>
  <c r="AJ12" i="45"/>
  <c r="AI67" i="28" s="1"/>
  <c r="AI12" i="45"/>
  <c r="AH67" i="28" s="1"/>
  <c r="AH12" i="45"/>
  <c r="AG67" i="28" s="1"/>
  <c r="AG12" i="45"/>
  <c r="AF67" i="28" s="1"/>
  <c r="AE12" i="45"/>
  <c r="AD12" i="45"/>
  <c r="AC67" i="28" s="1"/>
  <c r="AB12" i="45"/>
  <c r="AA67" i="28" s="1"/>
  <c r="AA12" i="45"/>
  <c r="Z67" i="28" s="1"/>
  <c r="Z12" i="45"/>
  <c r="Y67" i="28" s="1"/>
  <c r="Y12" i="45"/>
  <c r="X67" i="28" s="1"/>
  <c r="X12" i="45"/>
  <c r="W67" i="28" s="1"/>
  <c r="U12" i="45"/>
  <c r="T67" i="28" s="1"/>
  <c r="T12" i="45"/>
  <c r="L12" i="45"/>
  <c r="K67" i="28" s="1"/>
  <c r="J12" i="40"/>
  <c r="I12" i="40" s="1"/>
  <c r="I13" i="28"/>
  <c r="G13" i="28"/>
  <c r="F13" i="28"/>
  <c r="E13" i="28"/>
  <c r="AM13" i="28"/>
  <c r="AL13" i="28"/>
  <c r="AK13" i="28"/>
  <c r="AJ13" i="28"/>
  <c r="AI13" i="28"/>
  <c r="AH13" i="28"/>
  <c r="AG13" i="28"/>
  <c r="AF13" i="28"/>
  <c r="AE13" i="28"/>
  <c r="AD13" i="28"/>
  <c r="AC13" i="28"/>
  <c r="AB13" i="28"/>
  <c r="AA13" i="28"/>
  <c r="Z13" i="28"/>
  <c r="Y13" i="28"/>
  <c r="X13" i="28"/>
  <c r="W13" i="28"/>
  <c r="V13" i="28"/>
  <c r="U13" i="28"/>
  <c r="T13" i="28"/>
  <c r="S13" i="28"/>
  <c r="R13" i="28"/>
  <c r="Q13" i="28"/>
  <c r="P13" i="28"/>
  <c r="O13" i="28"/>
  <c r="N13" i="28"/>
  <c r="M13" i="28"/>
  <c r="L13" i="28"/>
  <c r="K13" i="28"/>
  <c r="J353" i="44"/>
  <c r="J352" i="44"/>
  <c r="J350" i="44"/>
  <c r="J349" i="44"/>
  <c r="J348" i="44"/>
  <c r="D40" i="41" s="1"/>
  <c r="M71" i="45" s="1"/>
  <c r="N71" i="45" s="1"/>
  <c r="O71" i="45" s="1"/>
  <c r="P71" i="45" s="1"/>
  <c r="Q71" i="45" s="1"/>
  <c r="R71" i="45" s="1"/>
  <c r="J347" i="44"/>
  <c r="E70" i="45"/>
  <c r="E56" i="45"/>
  <c r="E55" i="45"/>
  <c r="J313" i="44"/>
  <c r="J314" i="44"/>
  <c r="J324" i="44"/>
  <c r="J323" i="44"/>
  <c r="J322" i="44"/>
  <c r="J321" i="44"/>
  <c r="J320" i="44"/>
  <c r="J319" i="44"/>
  <c r="J318" i="44"/>
  <c r="J317" i="44"/>
  <c r="J316" i="44"/>
  <c r="J315" i="44"/>
  <c r="AK4" i="5"/>
  <c r="AK13" i="25" s="1"/>
  <c r="N4" i="5"/>
  <c r="N13" i="27" s="1"/>
  <c r="J335" i="44"/>
  <c r="J334" i="44"/>
  <c r="J333" i="44"/>
  <c r="J332" i="44"/>
  <c r="J331" i="44"/>
  <c r="J330" i="44"/>
  <c r="J329" i="44"/>
  <c r="J328" i="44"/>
  <c r="J327" i="44"/>
  <c r="J326" i="44"/>
  <c r="J337" i="44"/>
  <c r="J336" i="44"/>
  <c r="J343" i="44"/>
  <c r="J342" i="44"/>
  <c r="J341" i="44"/>
  <c r="J340" i="44"/>
  <c r="J339" i="44"/>
  <c r="V62" i="45"/>
  <c r="U15" i="45"/>
  <c r="T61" i="28" s="1"/>
  <c r="AJ15" i="45"/>
  <c r="AI61" i="28" s="1"/>
  <c r="AE15" i="45"/>
  <c r="AD61" i="28" s="1"/>
  <c r="Z15" i="45"/>
  <c r="Y61" i="28" s="1"/>
  <c r="G67" i="45"/>
  <c r="F11" i="28" s="1"/>
  <c r="H67" i="45"/>
  <c r="G11" i="28" s="1"/>
  <c r="I67" i="45"/>
  <c r="H11" i="28" s="1"/>
  <c r="J67" i="45"/>
  <c r="I11" i="28" s="1"/>
  <c r="K67" i="45"/>
  <c r="J11" i="28" s="1"/>
  <c r="L67" i="45"/>
  <c r="K11" i="28" s="1"/>
  <c r="N67" i="45"/>
  <c r="M11" i="28" s="1"/>
  <c r="P67" i="45"/>
  <c r="O11" i="28" s="1"/>
  <c r="R67" i="45"/>
  <c r="Q11" i="28" s="1"/>
  <c r="F67" i="45"/>
  <c r="E11" i="28" s="1"/>
  <c r="E65" i="45"/>
  <c r="J346" i="44"/>
  <c r="J345" i="44"/>
  <c r="J344" i="44"/>
  <c r="E61" i="45"/>
  <c r="AN46" i="45"/>
  <c r="AN47" i="45" s="1"/>
  <c r="AG46" i="45"/>
  <c r="AG47" i="45" s="1"/>
  <c r="W46" i="45"/>
  <c r="Y47" i="45" s="1"/>
  <c r="AC48" i="45" s="1"/>
  <c r="R46" i="45"/>
  <c r="V46" i="45"/>
  <c r="AD46" i="45"/>
  <c r="AH46" i="45"/>
  <c r="AL46" i="45"/>
  <c r="AM46" i="45"/>
  <c r="AK46" i="45"/>
  <c r="AI46" i="45"/>
  <c r="AF46" i="45"/>
  <c r="AE46" i="45"/>
  <c r="AC46" i="45"/>
  <c r="AB46" i="45"/>
  <c r="AA46" i="45"/>
  <c r="Y46" i="45"/>
  <c r="Z47" i="45" s="1"/>
  <c r="X46" i="45"/>
  <c r="U46" i="45"/>
  <c r="T46" i="45"/>
  <c r="S46" i="45"/>
  <c r="Q46" i="45"/>
  <c r="E45" i="45"/>
  <c r="E40" i="45"/>
  <c r="E50" i="45"/>
  <c r="E41" i="45"/>
  <c r="M34" i="45"/>
  <c r="N34" i="45"/>
  <c r="O34" i="45"/>
  <c r="P34" i="45"/>
  <c r="Q34" i="45"/>
  <c r="R34" i="45"/>
  <c r="S34" i="45"/>
  <c r="T34" i="45"/>
  <c r="U34" i="45"/>
  <c r="V34" i="45"/>
  <c r="W34" i="45"/>
  <c r="X34" i="45"/>
  <c r="Y34" i="45"/>
  <c r="Z34" i="45"/>
  <c r="AA34" i="45"/>
  <c r="AB34" i="45"/>
  <c r="AC34" i="45"/>
  <c r="AD34" i="45"/>
  <c r="AE34" i="45"/>
  <c r="AF34" i="45"/>
  <c r="AG34" i="45"/>
  <c r="AH34" i="45"/>
  <c r="AI34" i="45"/>
  <c r="AJ34" i="45"/>
  <c r="AK34" i="45"/>
  <c r="AL34" i="45"/>
  <c r="AM34" i="45"/>
  <c r="AN34" i="45"/>
  <c r="E33" i="45"/>
  <c r="D71" i="28"/>
  <c r="D70" i="28"/>
  <c r="D68" i="28"/>
  <c r="D65" i="28"/>
  <c r="D63" i="28"/>
  <c r="D59" i="28"/>
  <c r="D58" i="28"/>
  <c r="D55" i="28"/>
  <c r="D54" i="28"/>
  <c r="D53" i="28"/>
  <c r="D52" i="28"/>
  <c r="D51" i="28"/>
  <c r="D50" i="28"/>
  <c r="D48" i="28"/>
  <c r="D47" i="28"/>
  <c r="D46" i="28"/>
  <c r="D43" i="28"/>
  <c r="D42" i="28"/>
  <c r="D41" i="28"/>
  <c r="D40" i="28"/>
  <c r="D39" i="28"/>
  <c r="D38" i="28"/>
  <c r="D37" i="28"/>
  <c r="D36" i="28"/>
  <c r="D35" i="28"/>
  <c r="D34" i="28"/>
  <c r="D31" i="28"/>
  <c r="D30" i="28"/>
  <c r="D29" i="28"/>
  <c r="D28" i="28"/>
  <c r="D27" i="28"/>
  <c r="D26" i="28"/>
  <c r="D25" i="28"/>
  <c r="D24" i="28"/>
  <c r="D22" i="28"/>
  <c r="D21" i="28"/>
  <c r="D20" i="28"/>
  <c r="D19" i="28"/>
  <c r="D18" i="28"/>
  <c r="D16" i="28"/>
  <c r="D15" i="28"/>
  <c r="D12" i="28"/>
  <c r="D9" i="28"/>
  <c r="D8" i="28"/>
  <c r="D6" i="28"/>
  <c r="J26" i="45"/>
  <c r="J27" i="45" s="1"/>
  <c r="I60" i="28" s="1"/>
  <c r="R26" i="45"/>
  <c r="S26" i="45"/>
  <c r="V26" i="45"/>
  <c r="V27" i="45" s="1"/>
  <c r="U60" i="28" s="1"/>
  <c r="W26" i="45"/>
  <c r="W27" i="45" s="1"/>
  <c r="V60" i="28" s="1"/>
  <c r="Z26" i="45"/>
  <c r="Z27" i="45" s="1"/>
  <c r="Y60" i="28" s="1"/>
  <c r="AA26" i="45"/>
  <c r="AA27" i="45" s="1"/>
  <c r="Z60" i="28" s="1"/>
  <c r="AD26" i="45"/>
  <c r="AD27" i="45" s="1"/>
  <c r="AC60" i="28" s="1"/>
  <c r="AE26" i="45"/>
  <c r="AE27" i="45" s="1"/>
  <c r="AD60" i="28" s="1"/>
  <c r="AH26" i="45"/>
  <c r="AH27" i="45" s="1"/>
  <c r="AG60" i="28" s="1"/>
  <c r="AI26" i="45"/>
  <c r="AI27" i="45" s="1"/>
  <c r="AH60" i="28" s="1"/>
  <c r="AL26" i="45"/>
  <c r="AL27" i="45" s="1"/>
  <c r="AK60" i="28" s="1"/>
  <c r="AM26" i="45"/>
  <c r="AM27" i="45" s="1"/>
  <c r="AL60" i="28" s="1"/>
  <c r="F26" i="45"/>
  <c r="F27" i="45" s="1"/>
  <c r="AM30" i="45"/>
  <c r="AM31" i="45" s="1"/>
  <c r="AL69" i="28" s="1"/>
  <c r="AL30" i="45"/>
  <c r="AL31" i="45" s="1"/>
  <c r="AK69" i="28" s="1"/>
  <c r="AK30" i="45"/>
  <c r="AK31" i="45" s="1"/>
  <c r="AJ69" i="28" s="1"/>
  <c r="AJ30" i="45"/>
  <c r="AJ31" i="45" s="1"/>
  <c r="AI69" i="28" s="1"/>
  <c r="AI30" i="45"/>
  <c r="AI31" i="45" s="1"/>
  <c r="AH69" i="28" s="1"/>
  <c r="AH30" i="45"/>
  <c r="AH31" i="45" s="1"/>
  <c r="AG69" i="28" s="1"/>
  <c r="AG30" i="45"/>
  <c r="AG31" i="45" s="1"/>
  <c r="AF69" i="28" s="1"/>
  <c r="AF30" i="45"/>
  <c r="AF31" i="45" s="1"/>
  <c r="AE69" i="28" s="1"/>
  <c r="AE30" i="45"/>
  <c r="AE31" i="45" s="1"/>
  <c r="AD69" i="28" s="1"/>
  <c r="AD30" i="45"/>
  <c r="AD31" i="45" s="1"/>
  <c r="AC69" i="28" s="1"/>
  <c r="AC30" i="45"/>
  <c r="AC31" i="45" s="1"/>
  <c r="AB69" i="28" s="1"/>
  <c r="AB30" i="45"/>
  <c r="AB31" i="45" s="1"/>
  <c r="AA69" i="28" s="1"/>
  <c r="AA30" i="45"/>
  <c r="AA31" i="45" s="1"/>
  <c r="Z69" i="28" s="1"/>
  <c r="Z30" i="45"/>
  <c r="Z31" i="45" s="1"/>
  <c r="Y69" i="28" s="1"/>
  <c r="Y30" i="45"/>
  <c r="Y31" i="45" s="1"/>
  <c r="X69" i="28" s="1"/>
  <c r="X30" i="45"/>
  <c r="X31" i="45" s="1"/>
  <c r="W69" i="28" s="1"/>
  <c r="W30" i="45"/>
  <c r="W31" i="45" s="1"/>
  <c r="V69" i="28" s="1"/>
  <c r="V30" i="45"/>
  <c r="V31" i="45" s="1"/>
  <c r="U69" i="28" s="1"/>
  <c r="U30" i="45"/>
  <c r="U31" i="45" s="1"/>
  <c r="T69" i="28" s="1"/>
  <c r="S30" i="45"/>
  <c r="S31" i="45" s="1"/>
  <c r="R69" i="28" s="1"/>
  <c r="R30" i="45"/>
  <c r="R31" i="45" s="1"/>
  <c r="Q69" i="28" s="1"/>
  <c r="L30" i="45"/>
  <c r="L31" i="45" s="1"/>
  <c r="K69" i="28" s="1"/>
  <c r="J30" i="45"/>
  <c r="I30" i="45"/>
  <c r="I31" i="45" s="1"/>
  <c r="H69" i="28" s="1"/>
  <c r="H30" i="45"/>
  <c r="H31" i="45" s="1"/>
  <c r="G69" i="28" s="1"/>
  <c r="G30" i="45"/>
  <c r="G31" i="45" s="1"/>
  <c r="F69" i="28" s="1"/>
  <c r="F30" i="45"/>
  <c r="F31" i="45" s="1"/>
  <c r="G26" i="45"/>
  <c r="G27" i="45" s="1"/>
  <c r="F60" i="28" s="1"/>
  <c r="H26" i="45"/>
  <c r="H27" i="45" s="1"/>
  <c r="G60" i="28" s="1"/>
  <c r="I26" i="45"/>
  <c r="I27" i="45" s="1"/>
  <c r="H60" i="28" s="1"/>
  <c r="L26" i="45"/>
  <c r="L27" i="45" s="1"/>
  <c r="K60" i="28" s="1"/>
  <c r="U26" i="45"/>
  <c r="U27" i="45" s="1"/>
  <c r="T60" i="28" s="1"/>
  <c r="X26" i="45"/>
  <c r="X27" i="45" s="1"/>
  <c r="W60" i="28" s="1"/>
  <c r="Y26" i="45"/>
  <c r="Y27" i="45" s="1"/>
  <c r="X60" i="28" s="1"/>
  <c r="AB26" i="45"/>
  <c r="AB27" i="45" s="1"/>
  <c r="AA60" i="28" s="1"/>
  <c r="AC26" i="45"/>
  <c r="AC27" i="45" s="1"/>
  <c r="AB60" i="28" s="1"/>
  <c r="AF26" i="45"/>
  <c r="AF27" i="45" s="1"/>
  <c r="AE60" i="28" s="1"/>
  <c r="AG26" i="45"/>
  <c r="AG27" i="45" s="1"/>
  <c r="AF60" i="28" s="1"/>
  <c r="AJ26" i="45"/>
  <c r="AJ27" i="45" s="1"/>
  <c r="AI60" i="28" s="1"/>
  <c r="AK26" i="45"/>
  <c r="AK27" i="45" s="1"/>
  <c r="AJ60" i="28" s="1"/>
  <c r="E21" i="45"/>
  <c r="E25" i="45"/>
  <c r="E29" i="45"/>
  <c r="AB61" i="28"/>
  <c r="F67" i="28"/>
  <c r="F64" i="28" s="1"/>
  <c r="G67" i="28"/>
  <c r="H67" i="28"/>
  <c r="I67" i="28"/>
  <c r="L67" i="28"/>
  <c r="M67" i="28"/>
  <c r="N67" i="28"/>
  <c r="O67" i="28"/>
  <c r="O64" i="28" s="1"/>
  <c r="P67" i="28"/>
  <c r="Q67" i="28"/>
  <c r="V67" i="28"/>
  <c r="AD67" i="28"/>
  <c r="AL67" i="28"/>
  <c r="AL62" i="28"/>
  <c r="AK62" i="28"/>
  <c r="AJ62" i="28"/>
  <c r="AI62" i="28"/>
  <c r="AH62" i="28"/>
  <c r="AG62" i="28"/>
  <c r="AF62" i="28"/>
  <c r="AE62" i="28"/>
  <c r="AD62" i="28"/>
  <c r="AC62" i="28"/>
  <c r="AB62" i="28"/>
  <c r="AA62" i="28"/>
  <c r="Z62" i="28"/>
  <c r="Y62" i="28"/>
  <c r="X62" i="28"/>
  <c r="W62" i="28"/>
  <c r="V62" i="28"/>
  <c r="U62" i="28"/>
  <c r="T62" i="28"/>
  <c r="S62" i="28"/>
  <c r="R62" i="28"/>
  <c r="Q62" i="28"/>
  <c r="P62" i="28"/>
  <c r="O62" i="28"/>
  <c r="N62" i="28"/>
  <c r="M62" i="28"/>
  <c r="L62" i="28"/>
  <c r="K62" i="28"/>
  <c r="J62" i="28"/>
  <c r="I62" i="28"/>
  <c r="H62" i="28"/>
  <c r="G62" i="28"/>
  <c r="F62" i="28"/>
  <c r="E62" i="28"/>
  <c r="E14" i="45"/>
  <c r="E11" i="45"/>
  <c r="E8" i="45"/>
  <c r="E4" i="45"/>
  <c r="AN15" i="45"/>
  <c r="AM61" i="28" s="1"/>
  <c r="AM15" i="45"/>
  <c r="AL61" i="28" s="1"/>
  <c r="AL15" i="45"/>
  <c r="AK61" i="28" s="1"/>
  <c r="AK15" i="45"/>
  <c r="AJ61" i="28" s="1"/>
  <c r="AI15" i="45"/>
  <c r="AH61" i="28" s="1"/>
  <c r="AG61" i="28"/>
  <c r="AG15" i="45"/>
  <c r="AF61" i="28" s="1"/>
  <c r="AF15" i="45"/>
  <c r="AE61" i="28" s="1"/>
  <c r="AD15" i="45"/>
  <c r="AC61" i="28" s="1"/>
  <c r="AB15" i="45"/>
  <c r="AA61" i="28" s="1"/>
  <c r="AA15" i="45"/>
  <c r="Z61" i="28" s="1"/>
  <c r="Y15" i="45"/>
  <c r="X61" i="28" s="1"/>
  <c r="W61" i="28"/>
  <c r="W15" i="45"/>
  <c r="V61" i="28" s="1"/>
  <c r="V15" i="45"/>
  <c r="U61" i="28" s="1"/>
  <c r="T15" i="45"/>
  <c r="S61" i="28" s="1"/>
  <c r="R61" i="28"/>
  <c r="R15" i="45"/>
  <c r="Q61" i="28" s="1"/>
  <c r="Q15" i="45"/>
  <c r="P61" i="28" s="1"/>
  <c r="O15" i="45"/>
  <c r="N61" i="28" s="1"/>
  <c r="M61" i="28"/>
  <c r="M15" i="45"/>
  <c r="L61" i="28" s="1"/>
  <c r="L15" i="45"/>
  <c r="K61" i="28" s="1"/>
  <c r="J15" i="45"/>
  <c r="I61" i="28" s="1"/>
  <c r="I15" i="45"/>
  <c r="H61" i="28" s="1"/>
  <c r="H15" i="45"/>
  <c r="G61" i="28" s="1"/>
  <c r="G15" i="45"/>
  <c r="F61" i="28" s="1"/>
  <c r="F15" i="45"/>
  <c r="E61" i="28" s="1"/>
  <c r="R67" i="28"/>
  <c r="K12" i="45"/>
  <c r="J67" i="28" s="1"/>
  <c r="F12" i="45"/>
  <c r="E67" i="28" s="1"/>
  <c r="AB67" i="28"/>
  <c r="AB64" i="28" s="1"/>
  <c r="E24" i="5"/>
  <c r="E16" i="27"/>
  <c r="E16" i="32"/>
  <c r="D24" i="5"/>
  <c r="D16" i="27"/>
  <c r="D36" i="5"/>
  <c r="E36" i="5"/>
  <c r="F36" i="5"/>
  <c r="D38" i="5"/>
  <c r="D18" i="27"/>
  <c r="D18" i="32"/>
  <c r="E38" i="5"/>
  <c r="E18" i="27"/>
  <c r="E15" i="31"/>
  <c r="F38" i="5"/>
  <c r="F18" i="25"/>
  <c r="D43" i="5"/>
  <c r="D19" i="25"/>
  <c r="F43" i="5"/>
  <c r="F19" i="27"/>
  <c r="F16" i="31"/>
  <c r="E43" i="5"/>
  <c r="E19" i="27"/>
  <c r="D46" i="5"/>
  <c r="D17" i="31"/>
  <c r="E46" i="5"/>
  <c r="E17" i="31"/>
  <c r="F46" i="5"/>
  <c r="F20" i="25"/>
  <c r="J47" i="5"/>
  <c r="J46" i="5"/>
  <c r="J20" i="25"/>
  <c r="I33" i="28"/>
  <c r="I6" i="29"/>
  <c r="H26" i="32"/>
  <c r="F33" i="28"/>
  <c r="F6" i="29"/>
  <c r="E33" i="28"/>
  <c r="J33" i="28"/>
  <c r="J6" i="29"/>
  <c r="I26" i="32"/>
  <c r="AM33" i="28"/>
  <c r="AM6" i="29"/>
  <c r="AL33" i="28"/>
  <c r="AL6" i="29"/>
  <c r="AK33" i="28"/>
  <c r="AK6" i="29"/>
  <c r="AJ26" i="32"/>
  <c r="AJ33" i="28"/>
  <c r="AI33" i="28"/>
  <c r="AI6" i="29"/>
  <c r="AH26" i="32"/>
  <c r="AH33" i="28"/>
  <c r="AH6" i="29"/>
  <c r="AG26" i="32"/>
  <c r="AG33" i="28"/>
  <c r="AG6" i="29"/>
  <c r="AF26" i="32"/>
  <c r="AF33" i="28"/>
  <c r="AF6" i="29"/>
  <c r="AE33" i="28"/>
  <c r="AE6" i="29"/>
  <c r="AD24" i="31"/>
  <c r="AD33" i="28"/>
  <c r="AD6" i="29"/>
  <c r="AC24" i="31"/>
  <c r="AC33" i="28"/>
  <c r="AC6" i="29"/>
  <c r="AB24" i="31"/>
  <c r="AB33" i="28"/>
  <c r="AB6" i="29"/>
  <c r="AA33" i="28"/>
  <c r="AA6" i="29"/>
  <c r="Z26" i="32"/>
  <c r="Z33" i="28"/>
  <c r="Z6" i="29"/>
  <c r="Y26" i="32"/>
  <c r="Y33" i="28"/>
  <c r="Y6" i="29"/>
  <c r="X24" i="31"/>
  <c r="X33" i="28"/>
  <c r="X6" i="29"/>
  <c r="W33" i="28"/>
  <c r="W6" i="29"/>
  <c r="V24" i="31"/>
  <c r="V33" i="28"/>
  <c r="V6" i="29"/>
  <c r="U24" i="31"/>
  <c r="U33" i="28"/>
  <c r="U6" i="29"/>
  <c r="T33" i="28"/>
  <c r="T6" i="29"/>
  <c r="S33" i="28"/>
  <c r="S6" i="29"/>
  <c r="R26" i="32"/>
  <c r="R33" i="28"/>
  <c r="R6" i="29"/>
  <c r="Q26" i="32"/>
  <c r="Q33" i="28"/>
  <c r="Q6" i="29"/>
  <c r="P33" i="28"/>
  <c r="O33" i="28"/>
  <c r="O6" i="29"/>
  <c r="N33" i="28"/>
  <c r="N6" i="29"/>
  <c r="M24" i="31"/>
  <c r="M33" i="28"/>
  <c r="M6" i="29"/>
  <c r="L33" i="28"/>
  <c r="L6" i="29"/>
  <c r="K33" i="28"/>
  <c r="K6" i="29"/>
  <c r="H33" i="28"/>
  <c r="H6" i="29"/>
  <c r="G33" i="28"/>
  <c r="G6" i="29"/>
  <c r="F24" i="31"/>
  <c r="K46" i="5"/>
  <c r="K20" i="25"/>
  <c r="A13" i="40"/>
  <c r="AL46" i="5"/>
  <c r="AK46" i="5"/>
  <c r="AK17" i="31"/>
  <c r="AJ46" i="5"/>
  <c r="AJ20" i="25"/>
  <c r="AI46" i="5"/>
  <c r="AI17" i="31"/>
  <c r="AH46" i="5"/>
  <c r="AH20" i="25"/>
  <c r="AG46" i="5"/>
  <c r="AG20" i="25"/>
  <c r="AF46" i="5"/>
  <c r="AF17" i="31"/>
  <c r="AE46" i="5"/>
  <c r="AE17" i="31"/>
  <c r="AD46" i="5"/>
  <c r="AD20" i="25"/>
  <c r="AC46" i="5"/>
  <c r="AC17" i="31"/>
  <c r="AB46" i="5"/>
  <c r="AB17" i="31"/>
  <c r="AA46" i="5"/>
  <c r="AA17" i="31"/>
  <c r="Z46" i="5"/>
  <c r="Z17" i="31"/>
  <c r="Y46" i="5"/>
  <c r="Y20" i="25"/>
  <c r="X46" i="5"/>
  <c r="W46" i="5"/>
  <c r="W20" i="25"/>
  <c r="V46" i="5"/>
  <c r="V17" i="31"/>
  <c r="U46" i="5"/>
  <c r="U17" i="31"/>
  <c r="T46" i="5"/>
  <c r="T17" i="31"/>
  <c r="S46" i="5"/>
  <c r="S20" i="25"/>
  <c r="R46" i="5"/>
  <c r="R17" i="31"/>
  <c r="Q46" i="5"/>
  <c r="Q17" i="31"/>
  <c r="P46" i="5"/>
  <c r="P20" i="25"/>
  <c r="O46" i="5"/>
  <c r="O17" i="31"/>
  <c r="N46" i="5"/>
  <c r="N20" i="25"/>
  <c r="M46" i="5"/>
  <c r="M20" i="25"/>
  <c r="L46" i="5"/>
  <c r="L17" i="31"/>
  <c r="I46" i="5"/>
  <c r="I20" i="25"/>
  <c r="H46" i="5"/>
  <c r="H17" i="31"/>
  <c r="G46" i="5"/>
  <c r="G17" i="31"/>
  <c r="C48" i="5"/>
  <c r="J17" i="40"/>
  <c r="G17" i="40" s="1"/>
  <c r="E17" i="40" s="1"/>
  <c r="J15" i="40"/>
  <c r="J41" i="40"/>
  <c r="I41" i="40" s="1"/>
  <c r="J40" i="40"/>
  <c r="J39" i="40"/>
  <c r="J38" i="40"/>
  <c r="I38" i="40" s="1"/>
  <c r="J37" i="40"/>
  <c r="K37" i="40" s="1"/>
  <c r="J36" i="40"/>
  <c r="I36" i="40" s="1"/>
  <c r="J35" i="40"/>
  <c r="J34" i="40"/>
  <c r="I34" i="40" s="1"/>
  <c r="J33" i="40"/>
  <c r="I33" i="40" s="1"/>
  <c r="J32" i="40"/>
  <c r="J31" i="40"/>
  <c r="I31" i="40" s="1"/>
  <c r="J30" i="40"/>
  <c r="I30" i="40" s="1"/>
  <c r="J29" i="40"/>
  <c r="I29" i="40" s="1"/>
  <c r="J28" i="40"/>
  <c r="J27" i="40"/>
  <c r="J26" i="40"/>
  <c r="I26" i="40" s="1"/>
  <c r="J25" i="40"/>
  <c r="J24" i="40"/>
  <c r="G24" i="40" s="1"/>
  <c r="E24" i="40" s="1"/>
  <c r="J23" i="40"/>
  <c r="J22" i="40"/>
  <c r="G22" i="40" s="1"/>
  <c r="E22" i="40" s="1"/>
  <c r="J21" i="40"/>
  <c r="I21" i="40" s="1"/>
  <c r="J20" i="40"/>
  <c r="J19" i="40"/>
  <c r="G19" i="40" s="1"/>
  <c r="E19" i="40" s="1"/>
  <c r="J18" i="40"/>
  <c r="J16" i="40"/>
  <c r="A15" i="40"/>
  <c r="A39" i="40"/>
  <c r="A40" i="40"/>
  <c r="A36" i="40"/>
  <c r="A32" i="40"/>
  <c r="A29" i="40"/>
  <c r="A28" i="40"/>
  <c r="A25" i="40"/>
  <c r="A24" i="40"/>
  <c r="A21" i="40"/>
  <c r="H21" i="40" s="1"/>
  <c r="A20" i="40"/>
  <c r="H20" i="40" s="1"/>
  <c r="A17" i="40"/>
  <c r="A16" i="40"/>
  <c r="A18" i="40"/>
  <c r="A22" i="40"/>
  <c r="A26" i="40"/>
  <c r="A30" i="40"/>
  <c r="A34" i="40"/>
  <c r="A38" i="40"/>
  <c r="A33" i="40"/>
  <c r="A37" i="40"/>
  <c r="A41" i="40"/>
  <c r="H41" i="40" s="1"/>
  <c r="A19" i="40"/>
  <c r="A23" i="40"/>
  <c r="A27" i="40"/>
  <c r="A31" i="40"/>
  <c r="H31" i="40" s="1"/>
  <c r="A35" i="40"/>
  <c r="Q48" i="22"/>
  <c r="Q47" i="22"/>
  <c r="O51" i="22"/>
  <c r="H6" i="41"/>
  <c r="R208" i="33" s="1"/>
  <c r="AT46" i="5"/>
  <c r="AS46" i="5"/>
  <c r="AR46" i="5"/>
  <c r="AP46" i="5"/>
  <c r="AO46" i="5"/>
  <c r="AN46" i="5"/>
  <c r="AT43" i="5"/>
  <c r="AS43" i="5"/>
  <c r="AR43" i="5"/>
  <c r="AP43" i="5"/>
  <c r="AO43" i="5"/>
  <c r="AN43" i="5"/>
  <c r="AT38" i="5"/>
  <c r="AS38" i="5"/>
  <c r="AR38" i="5"/>
  <c r="AP38" i="5"/>
  <c r="AO38" i="5"/>
  <c r="AN38" i="5"/>
  <c r="AT36" i="5"/>
  <c r="AS36" i="5"/>
  <c r="AR36" i="5"/>
  <c r="AP36" i="5"/>
  <c r="AO36" i="5"/>
  <c r="AN36" i="5"/>
  <c r="AT30" i="5"/>
  <c r="AS30" i="5"/>
  <c r="AR30" i="5"/>
  <c r="AP30" i="5"/>
  <c r="AO30" i="5"/>
  <c r="AN30" i="5"/>
  <c r="AT24" i="5"/>
  <c r="AS24" i="5"/>
  <c r="AR24" i="5"/>
  <c r="AP24" i="5"/>
  <c r="AO24" i="5"/>
  <c r="AN24" i="5"/>
  <c r="AT16" i="5"/>
  <c r="AS16" i="5"/>
  <c r="AR16" i="5"/>
  <c r="AP16" i="5"/>
  <c r="AO16" i="5"/>
  <c r="AN16" i="5"/>
  <c r="AT11" i="5"/>
  <c r="AS11" i="5"/>
  <c r="AR11" i="5"/>
  <c r="AP11" i="5"/>
  <c r="AO11" i="5"/>
  <c r="AN11" i="5"/>
  <c r="AR9" i="5"/>
  <c r="AR4" i="5"/>
  <c r="AT4" i="5"/>
  <c r="AS4" i="5"/>
  <c r="AP4" i="5"/>
  <c r="AO4" i="5"/>
  <c r="AN4" i="5"/>
  <c r="S2" i="28"/>
  <c r="F1" i="28"/>
  <c r="E1" i="28"/>
  <c r="G8" i="40"/>
  <c r="E8" i="40"/>
  <c r="D9" i="40"/>
  <c r="J11" i="40"/>
  <c r="I11" i="40" s="1"/>
  <c r="J10" i="40"/>
  <c r="G10" i="40" s="1"/>
  <c r="E10" i="40" s="1"/>
  <c r="G7" i="40"/>
  <c r="E7" i="40"/>
  <c r="U89" i="40"/>
  <c r="U88" i="40"/>
  <c r="U87" i="40"/>
  <c r="X87" i="40"/>
  <c r="U86" i="40"/>
  <c r="W86" i="40"/>
  <c r="U85" i="40"/>
  <c r="X85" i="40"/>
  <c r="U84" i="40"/>
  <c r="U83" i="40"/>
  <c r="W83" i="40"/>
  <c r="U82" i="40"/>
  <c r="X82" i="40"/>
  <c r="AZ81" i="40"/>
  <c r="AY81" i="40"/>
  <c r="AX81" i="40"/>
  <c r="S81" i="40"/>
  <c r="U81" i="40"/>
  <c r="I81" i="40"/>
  <c r="H81" i="40"/>
  <c r="F81" i="40"/>
  <c r="AZ80" i="40"/>
  <c r="AY80" i="40"/>
  <c r="AX80" i="40"/>
  <c r="S80" i="40"/>
  <c r="U80" i="40"/>
  <c r="X80" i="40"/>
  <c r="I80" i="40"/>
  <c r="H80" i="40"/>
  <c r="F80" i="40"/>
  <c r="AZ79" i="40"/>
  <c r="AY79" i="40"/>
  <c r="AX79" i="40"/>
  <c r="S79" i="40"/>
  <c r="I79" i="40"/>
  <c r="H79" i="40"/>
  <c r="F79" i="40"/>
  <c r="AZ78" i="40"/>
  <c r="AY78" i="40"/>
  <c r="AX78" i="40"/>
  <c r="S78" i="40"/>
  <c r="U78" i="40"/>
  <c r="X78" i="40"/>
  <c r="I78" i="40"/>
  <c r="H78" i="40"/>
  <c r="F78" i="40"/>
  <c r="AZ77" i="40"/>
  <c r="AY77" i="40"/>
  <c r="AX77" i="40"/>
  <c r="S77" i="40"/>
  <c r="I77" i="40"/>
  <c r="H77" i="40"/>
  <c r="F77" i="40"/>
  <c r="AZ76" i="40"/>
  <c r="AY76" i="40"/>
  <c r="AX76" i="40"/>
  <c r="S76" i="40"/>
  <c r="W76" i="40"/>
  <c r="I76" i="40"/>
  <c r="H76" i="40"/>
  <c r="F76" i="40"/>
  <c r="AZ75" i="40"/>
  <c r="AY75" i="40"/>
  <c r="AX75" i="40"/>
  <c r="S75" i="40"/>
  <c r="U75" i="40"/>
  <c r="X75" i="40"/>
  <c r="I75" i="40"/>
  <c r="H75" i="40"/>
  <c r="F75" i="40"/>
  <c r="AZ74" i="40"/>
  <c r="AY74" i="40"/>
  <c r="AX74" i="40"/>
  <c r="S74" i="40"/>
  <c r="U74" i="40"/>
  <c r="X74" i="40"/>
  <c r="I74" i="40"/>
  <c r="H74" i="40"/>
  <c r="F74" i="40"/>
  <c r="AZ73" i="40"/>
  <c r="AY73" i="40"/>
  <c r="AX73" i="40"/>
  <c r="S73" i="40"/>
  <c r="W73" i="40"/>
  <c r="I73" i="40"/>
  <c r="H73" i="40"/>
  <c r="F73" i="40"/>
  <c r="AZ72" i="40"/>
  <c r="AY72" i="40"/>
  <c r="AX72" i="40"/>
  <c r="S72" i="40"/>
  <c r="I72" i="40"/>
  <c r="H72" i="40"/>
  <c r="F72" i="40"/>
  <c r="AZ71" i="40"/>
  <c r="AY71" i="40"/>
  <c r="AX71" i="40"/>
  <c r="S71" i="40"/>
  <c r="W71" i="40"/>
  <c r="I71" i="40"/>
  <c r="H71" i="40"/>
  <c r="F71" i="40"/>
  <c r="AZ70" i="40"/>
  <c r="AY70" i="40"/>
  <c r="AX70" i="40"/>
  <c r="S70" i="40"/>
  <c r="U70" i="40"/>
  <c r="X70" i="40"/>
  <c r="I70" i="40"/>
  <c r="H70" i="40"/>
  <c r="F70" i="40"/>
  <c r="AZ69" i="40"/>
  <c r="AY69" i="40"/>
  <c r="AX69" i="40"/>
  <c r="S69" i="40"/>
  <c r="W69" i="40"/>
  <c r="I69" i="40"/>
  <c r="H69" i="40"/>
  <c r="F69" i="40"/>
  <c r="AZ68" i="40"/>
  <c r="AY68" i="40"/>
  <c r="AX68" i="40"/>
  <c r="S68" i="40"/>
  <c r="I68" i="40"/>
  <c r="H68" i="40"/>
  <c r="F68" i="40"/>
  <c r="AZ67" i="40"/>
  <c r="AY67" i="40"/>
  <c r="AX67" i="40"/>
  <c r="S67" i="40"/>
  <c r="W67" i="40"/>
  <c r="I67" i="40"/>
  <c r="H67" i="40"/>
  <c r="F67" i="40"/>
  <c r="AZ66" i="40"/>
  <c r="AY66" i="40"/>
  <c r="AX66" i="40"/>
  <c r="S66" i="40"/>
  <c r="W66" i="40"/>
  <c r="I66" i="40"/>
  <c r="H66" i="40"/>
  <c r="F66" i="40"/>
  <c r="AZ65" i="40"/>
  <c r="AY65" i="40"/>
  <c r="AX65" i="40"/>
  <c r="S65" i="40"/>
  <c r="W65" i="40"/>
  <c r="I65" i="40"/>
  <c r="H65" i="40"/>
  <c r="F65" i="40"/>
  <c r="AZ64" i="40"/>
  <c r="AY64" i="40"/>
  <c r="AX64" i="40"/>
  <c r="S64" i="40"/>
  <c r="I64" i="40"/>
  <c r="H64" i="40"/>
  <c r="F64" i="40"/>
  <c r="AZ63" i="40"/>
  <c r="AY63" i="40"/>
  <c r="AX63" i="40"/>
  <c r="S63" i="40"/>
  <c r="U63" i="40"/>
  <c r="X63" i="40"/>
  <c r="I63" i="40"/>
  <c r="H63" i="40"/>
  <c r="F63" i="40"/>
  <c r="AZ62" i="40"/>
  <c r="AY62" i="40"/>
  <c r="AX62" i="40"/>
  <c r="S62" i="40"/>
  <c r="U62" i="40"/>
  <c r="X62" i="40"/>
  <c r="I62" i="40"/>
  <c r="H62" i="40"/>
  <c r="F62" i="40"/>
  <c r="AZ61" i="40"/>
  <c r="AY61" i="40"/>
  <c r="AX61" i="40"/>
  <c r="S61" i="40"/>
  <c r="W61" i="40"/>
  <c r="I61" i="40"/>
  <c r="H61" i="40"/>
  <c r="F61" i="40"/>
  <c r="AZ60" i="40"/>
  <c r="AY60" i="40"/>
  <c r="AX60" i="40"/>
  <c r="S60" i="40"/>
  <c r="I60" i="40"/>
  <c r="H60" i="40"/>
  <c r="F60" i="40"/>
  <c r="AZ59" i="40"/>
  <c r="AY59" i="40"/>
  <c r="AX59" i="40"/>
  <c r="S59" i="40"/>
  <c r="I59" i="40"/>
  <c r="H59" i="40"/>
  <c r="F59" i="40"/>
  <c r="AZ58" i="40"/>
  <c r="AY58" i="40"/>
  <c r="AX58" i="40"/>
  <c r="S58" i="40"/>
  <c r="U58" i="40"/>
  <c r="X58" i="40"/>
  <c r="I58" i="40"/>
  <c r="H58" i="40"/>
  <c r="F58" i="40"/>
  <c r="AZ57" i="40"/>
  <c r="AY57" i="40"/>
  <c r="AX57" i="40"/>
  <c r="S57" i="40"/>
  <c r="U57" i="40"/>
  <c r="X57" i="40"/>
  <c r="I57" i="40"/>
  <c r="H57" i="40"/>
  <c r="F57" i="40"/>
  <c r="AZ56" i="40"/>
  <c r="AY56" i="40"/>
  <c r="AX56" i="40"/>
  <c r="S56" i="40"/>
  <c r="W56" i="40"/>
  <c r="I56" i="40"/>
  <c r="H56" i="40"/>
  <c r="F56" i="40"/>
  <c r="AZ55" i="40"/>
  <c r="AY55" i="40"/>
  <c r="AX55" i="40"/>
  <c r="S55" i="40"/>
  <c r="W55" i="40"/>
  <c r="I55" i="40"/>
  <c r="H55" i="40"/>
  <c r="F55" i="40"/>
  <c r="AZ54" i="40"/>
  <c r="AY54" i="40"/>
  <c r="AX54" i="40"/>
  <c r="S54" i="40"/>
  <c r="I54" i="40"/>
  <c r="H54" i="40"/>
  <c r="F54" i="40"/>
  <c r="AZ53" i="40"/>
  <c r="AY53" i="40"/>
  <c r="AX53" i="40"/>
  <c r="S53" i="40"/>
  <c r="W53" i="40"/>
  <c r="I53" i="40"/>
  <c r="H53" i="40"/>
  <c r="F53" i="40"/>
  <c r="AZ52" i="40"/>
  <c r="AY52" i="40"/>
  <c r="AX52" i="40"/>
  <c r="S52" i="40"/>
  <c r="I52" i="40"/>
  <c r="H52" i="40"/>
  <c r="F52" i="40"/>
  <c r="AZ51" i="40"/>
  <c r="AY51" i="40"/>
  <c r="AX51" i="40"/>
  <c r="S51" i="40"/>
  <c r="U51" i="40"/>
  <c r="X51" i="40"/>
  <c r="I51" i="40"/>
  <c r="H51" i="40"/>
  <c r="F51" i="40"/>
  <c r="AZ50" i="40"/>
  <c r="AY50" i="40"/>
  <c r="AX50" i="40"/>
  <c r="S50" i="40"/>
  <c r="U50" i="40"/>
  <c r="X50" i="40"/>
  <c r="I50" i="40"/>
  <c r="H50" i="40"/>
  <c r="F50" i="40"/>
  <c r="AZ49" i="40"/>
  <c r="AY49" i="40"/>
  <c r="AX49" i="40"/>
  <c r="S49" i="40"/>
  <c r="W49" i="40"/>
  <c r="I49" i="40"/>
  <c r="H49" i="40"/>
  <c r="F49" i="40"/>
  <c r="AZ48" i="40"/>
  <c r="AY48" i="40"/>
  <c r="AX48" i="40"/>
  <c r="S48" i="40"/>
  <c r="U48" i="40"/>
  <c r="X48" i="40"/>
  <c r="I48" i="40"/>
  <c r="H48" i="40"/>
  <c r="F48" i="40"/>
  <c r="AZ47" i="40"/>
  <c r="AY47" i="40"/>
  <c r="AX47" i="40"/>
  <c r="S47" i="40"/>
  <c r="U47" i="40"/>
  <c r="X47" i="40"/>
  <c r="I47" i="40"/>
  <c r="H47" i="40"/>
  <c r="F47" i="40"/>
  <c r="AZ46" i="40"/>
  <c r="AY46" i="40"/>
  <c r="AX46" i="40"/>
  <c r="S46" i="40"/>
  <c r="U46" i="40"/>
  <c r="X46" i="40"/>
  <c r="I46" i="40"/>
  <c r="H46" i="40"/>
  <c r="F46" i="40"/>
  <c r="AZ45" i="40"/>
  <c r="AY45" i="40"/>
  <c r="AX45" i="40"/>
  <c r="S45" i="40"/>
  <c r="U45" i="40"/>
  <c r="X45" i="40"/>
  <c r="I45" i="40"/>
  <c r="H45" i="40"/>
  <c r="F45" i="40"/>
  <c r="AZ44" i="40"/>
  <c r="AY44" i="40"/>
  <c r="AX44" i="40"/>
  <c r="S44" i="40"/>
  <c r="U44" i="40"/>
  <c r="X44" i="40"/>
  <c r="I44" i="40"/>
  <c r="H44" i="40"/>
  <c r="F44" i="40"/>
  <c r="C35" i="5"/>
  <c r="F17" i="28"/>
  <c r="C49" i="5"/>
  <c r="C50" i="5"/>
  <c r="C51" i="5"/>
  <c r="C52" i="5"/>
  <c r="C53" i="5"/>
  <c r="C54" i="5"/>
  <c r="C55" i="5"/>
  <c r="C56" i="5"/>
  <c r="O11" i="5"/>
  <c r="P11" i="5"/>
  <c r="P14" i="25"/>
  <c r="Q11" i="5"/>
  <c r="Q14" i="25"/>
  <c r="R11" i="5"/>
  <c r="R14" i="27"/>
  <c r="R11" i="31"/>
  <c r="S11" i="5"/>
  <c r="S14" i="25"/>
  <c r="T11" i="5"/>
  <c r="T14" i="27"/>
  <c r="U11" i="5"/>
  <c r="U14" i="27"/>
  <c r="V11" i="5"/>
  <c r="V14" i="27"/>
  <c r="W11" i="5"/>
  <c r="W14" i="25"/>
  <c r="X11" i="5"/>
  <c r="Y11" i="5"/>
  <c r="Y14" i="25"/>
  <c r="Z11" i="5"/>
  <c r="Z14" i="25"/>
  <c r="AA11" i="5"/>
  <c r="AB11" i="5"/>
  <c r="AB14" i="27"/>
  <c r="AC11" i="5"/>
  <c r="AD11" i="5"/>
  <c r="AD14" i="25"/>
  <c r="AE11" i="5"/>
  <c r="AF11" i="5"/>
  <c r="AF14" i="27"/>
  <c r="AF14" i="32"/>
  <c r="AG11" i="5"/>
  <c r="AH11" i="5"/>
  <c r="AH14" i="27"/>
  <c r="AH14" i="32"/>
  <c r="AI11" i="5"/>
  <c r="AI14" i="27"/>
  <c r="AI11" i="31"/>
  <c r="AJ11" i="5"/>
  <c r="AK11" i="5"/>
  <c r="AK14" i="25"/>
  <c r="AL11" i="5"/>
  <c r="AL14" i="27"/>
  <c r="C62" i="25"/>
  <c r="AL75" i="25"/>
  <c r="AK75" i="25"/>
  <c r="AJ75" i="25"/>
  <c r="AI75" i="25"/>
  <c r="AH75" i="25"/>
  <c r="AG75" i="25"/>
  <c r="AF75" i="25"/>
  <c r="AE75" i="25"/>
  <c r="AD75" i="25"/>
  <c r="AC75" i="25"/>
  <c r="AB75" i="25"/>
  <c r="AA75" i="25"/>
  <c r="Z75" i="25"/>
  <c r="Y75" i="25"/>
  <c r="X75" i="25"/>
  <c r="W75" i="25"/>
  <c r="V75" i="25"/>
  <c r="U75" i="25"/>
  <c r="T75" i="25"/>
  <c r="S75" i="25"/>
  <c r="R75" i="25"/>
  <c r="Q75" i="25"/>
  <c r="P75" i="25"/>
  <c r="O75" i="25"/>
  <c r="N75" i="25"/>
  <c r="M75" i="25"/>
  <c r="L75" i="25"/>
  <c r="K75" i="25"/>
  <c r="J75" i="25"/>
  <c r="I75" i="25"/>
  <c r="H75" i="25"/>
  <c r="G75" i="25"/>
  <c r="F75" i="25"/>
  <c r="E75" i="25"/>
  <c r="AL70" i="25"/>
  <c r="AK70" i="25"/>
  <c r="AJ70" i="25"/>
  <c r="AI70" i="25"/>
  <c r="AH70" i="25"/>
  <c r="AG70" i="25"/>
  <c r="AF70" i="25"/>
  <c r="AE70" i="25"/>
  <c r="AD70" i="25"/>
  <c r="AC70" i="25"/>
  <c r="AB70" i="25"/>
  <c r="AA70" i="25"/>
  <c r="Z70" i="25"/>
  <c r="Y70" i="25"/>
  <c r="X70" i="25"/>
  <c r="W70" i="25"/>
  <c r="V70" i="25"/>
  <c r="U70" i="25"/>
  <c r="T70" i="25"/>
  <c r="S70" i="25"/>
  <c r="R70" i="25"/>
  <c r="Q70" i="25"/>
  <c r="P70" i="25"/>
  <c r="O70" i="25"/>
  <c r="N70" i="25"/>
  <c r="M70" i="25"/>
  <c r="L70" i="25"/>
  <c r="K70" i="25"/>
  <c r="J70" i="25"/>
  <c r="I70" i="25"/>
  <c r="H70" i="25"/>
  <c r="G70" i="25"/>
  <c r="F70" i="25"/>
  <c r="E70" i="25"/>
  <c r="AL66" i="25"/>
  <c r="AK66" i="25"/>
  <c r="AJ66" i="25"/>
  <c r="AI66" i="25"/>
  <c r="AH66" i="25"/>
  <c r="AG66" i="25"/>
  <c r="AF66" i="25"/>
  <c r="AE66" i="25"/>
  <c r="AD66" i="25"/>
  <c r="AC66" i="25"/>
  <c r="AB66" i="25"/>
  <c r="AA66" i="25"/>
  <c r="Z66" i="25"/>
  <c r="Y66" i="25"/>
  <c r="X66" i="25"/>
  <c r="W66" i="25"/>
  <c r="V66" i="25"/>
  <c r="U66" i="25"/>
  <c r="T66" i="25"/>
  <c r="S66" i="25"/>
  <c r="R66" i="25"/>
  <c r="Q66" i="25"/>
  <c r="P66" i="25"/>
  <c r="O66" i="25"/>
  <c r="N66" i="25"/>
  <c r="M66" i="25"/>
  <c r="L66" i="25"/>
  <c r="K66" i="25"/>
  <c r="J66" i="25"/>
  <c r="I66" i="25"/>
  <c r="H66" i="25"/>
  <c r="G66" i="25"/>
  <c r="F66" i="25"/>
  <c r="E66" i="25"/>
  <c r="AL62" i="25"/>
  <c r="AK62" i="25"/>
  <c r="AJ62" i="25"/>
  <c r="AI62" i="25"/>
  <c r="AH62" i="25"/>
  <c r="AG62" i="25"/>
  <c r="AF62" i="25"/>
  <c r="AE62" i="25"/>
  <c r="AD62" i="25"/>
  <c r="AC62" i="25"/>
  <c r="AB62" i="25"/>
  <c r="AA62" i="25"/>
  <c r="Z62" i="25"/>
  <c r="Y62" i="25"/>
  <c r="X62" i="25"/>
  <c r="W62" i="25"/>
  <c r="V62" i="25"/>
  <c r="U62" i="25"/>
  <c r="T62" i="25"/>
  <c r="S62" i="25"/>
  <c r="R62" i="25"/>
  <c r="Q62" i="25"/>
  <c r="P62" i="25"/>
  <c r="O62" i="25"/>
  <c r="N62" i="25"/>
  <c r="M62" i="25"/>
  <c r="L62" i="25"/>
  <c r="K62" i="25"/>
  <c r="J62" i="25"/>
  <c r="I62" i="25"/>
  <c r="H62" i="25"/>
  <c r="G62" i="25"/>
  <c r="F62" i="25"/>
  <c r="E62" i="25"/>
  <c r="D75" i="25"/>
  <c r="D71" i="25"/>
  <c r="D70" i="25"/>
  <c r="D66" i="25"/>
  <c r="D62" i="25"/>
  <c r="E45" i="28"/>
  <c r="E49" i="28"/>
  <c r="R42" i="22"/>
  <c r="F2" i="4"/>
  <c r="C28" i="23"/>
  <c r="C72" i="5"/>
  <c r="D9" i="35"/>
  <c r="D9" i="34"/>
  <c r="B1" i="35"/>
  <c r="B1" i="34"/>
  <c r="C14" i="35"/>
  <c r="Q207" i="22"/>
  <c r="Q206" i="22"/>
  <c r="Q46" i="22"/>
  <c r="AJ49" i="28"/>
  <c r="AB49" i="28"/>
  <c r="X49" i="28"/>
  <c r="T49" i="28"/>
  <c r="L49" i="28"/>
  <c r="H49" i="28"/>
  <c r="AM49" i="28"/>
  <c r="AI49" i="28"/>
  <c r="AE49" i="28"/>
  <c r="AA49" i="28"/>
  <c r="W49" i="28"/>
  <c r="S49" i="28"/>
  <c r="O49" i="28"/>
  <c r="K49" i="28"/>
  <c r="G49" i="28"/>
  <c r="AF49" i="28"/>
  <c r="P49" i="28"/>
  <c r="AJ45" i="28"/>
  <c r="T45" i="28"/>
  <c r="AM17" i="28"/>
  <c r="AL17" i="28"/>
  <c r="AK17" i="28"/>
  <c r="AJ17" i="28"/>
  <c r="AI17" i="28"/>
  <c r="AH17" i="28"/>
  <c r="AG17" i="28"/>
  <c r="AF17" i="28"/>
  <c r="AE17" i="28"/>
  <c r="AD17" i="28"/>
  <c r="AC17" i="28"/>
  <c r="AB17" i="28"/>
  <c r="AA17" i="28"/>
  <c r="Z17" i="28"/>
  <c r="Y17" i="28"/>
  <c r="X17" i="28"/>
  <c r="W17" i="28"/>
  <c r="V17" i="28"/>
  <c r="U17" i="28"/>
  <c r="T17" i="28"/>
  <c r="S17" i="28"/>
  <c r="R17" i="28"/>
  <c r="Q17" i="28"/>
  <c r="P17" i="28"/>
  <c r="O17" i="28"/>
  <c r="N17" i="28"/>
  <c r="M17" i="28"/>
  <c r="L17" i="28"/>
  <c r="K17" i="28"/>
  <c r="J17" i="28"/>
  <c r="I17" i="28"/>
  <c r="H17" i="28"/>
  <c r="G17" i="28"/>
  <c r="H45" i="28"/>
  <c r="L45" i="28"/>
  <c r="P45" i="28"/>
  <c r="X45" i="28"/>
  <c r="AB45" i="28"/>
  <c r="AF45" i="28"/>
  <c r="G45" i="28"/>
  <c r="K45" i="28"/>
  <c r="O45" i="28"/>
  <c r="S45" i="28"/>
  <c r="W45" i="28"/>
  <c r="AA45" i="28"/>
  <c r="AE45" i="28"/>
  <c r="AI45" i="28"/>
  <c r="AM45" i="28"/>
  <c r="I45" i="28"/>
  <c r="M45" i="28"/>
  <c r="Q45" i="28"/>
  <c r="U45" i="28"/>
  <c r="Y45" i="28"/>
  <c r="AC45" i="28"/>
  <c r="AG45" i="28"/>
  <c r="AK45" i="28"/>
  <c r="F45" i="28"/>
  <c r="J45" i="28"/>
  <c r="N45" i="28"/>
  <c r="R45" i="28"/>
  <c r="V45" i="28"/>
  <c r="Z45" i="28"/>
  <c r="AD45" i="28"/>
  <c r="AH45" i="28"/>
  <c r="AL45" i="28"/>
  <c r="I49" i="28"/>
  <c r="M49" i="28"/>
  <c r="Q49" i="28"/>
  <c r="U49" i="28"/>
  <c r="Y49" i="28"/>
  <c r="AC49" i="28"/>
  <c r="AG49" i="28"/>
  <c r="AK49" i="28"/>
  <c r="F49" i="28"/>
  <c r="D49" i="28"/>
  <c r="J49" i="28"/>
  <c r="N49" i="28"/>
  <c r="R49" i="28"/>
  <c r="V49" i="28"/>
  <c r="Z49" i="28"/>
  <c r="AD49" i="28"/>
  <c r="AH49" i="28"/>
  <c r="AL49" i="28"/>
  <c r="D30" i="25"/>
  <c r="D64" i="25" s="1"/>
  <c r="C8" i="29"/>
  <c r="C16" i="29"/>
  <c r="AM27" i="29"/>
  <c r="AM65" i="29"/>
  <c r="AL27" i="29"/>
  <c r="AL65" i="29"/>
  <c r="AK27" i="29"/>
  <c r="AK65" i="29"/>
  <c r="AJ27" i="29"/>
  <c r="AJ65" i="29"/>
  <c r="AI27" i="29"/>
  <c r="AI65" i="29"/>
  <c r="AH27" i="29"/>
  <c r="AH65" i="29"/>
  <c r="AG27" i="29"/>
  <c r="AG65" i="29"/>
  <c r="AF27" i="29"/>
  <c r="AF65" i="29"/>
  <c r="AE27" i="29"/>
  <c r="AE65" i="29"/>
  <c r="AD27" i="29"/>
  <c r="AD65" i="29"/>
  <c r="AC27" i="29"/>
  <c r="AC65" i="29"/>
  <c r="AB27" i="29"/>
  <c r="AB65" i="29"/>
  <c r="AA27" i="29"/>
  <c r="AA65" i="29"/>
  <c r="Z27" i="29"/>
  <c r="Z65" i="29"/>
  <c r="Y27" i="29"/>
  <c r="Y65" i="29"/>
  <c r="X27" i="29"/>
  <c r="X65" i="29"/>
  <c r="W27" i="29"/>
  <c r="W65" i="29"/>
  <c r="V27" i="29"/>
  <c r="V65" i="29"/>
  <c r="U27" i="29"/>
  <c r="U65" i="29"/>
  <c r="T27" i="29"/>
  <c r="T65" i="29"/>
  <c r="S27" i="29"/>
  <c r="S65" i="29"/>
  <c r="R27" i="29"/>
  <c r="R65" i="29"/>
  <c r="Q27" i="29"/>
  <c r="Q65" i="29"/>
  <c r="P27" i="29"/>
  <c r="P65" i="29"/>
  <c r="O27" i="29"/>
  <c r="O65" i="29"/>
  <c r="N27" i="29"/>
  <c r="N65" i="29"/>
  <c r="M27" i="29"/>
  <c r="M65" i="29"/>
  <c r="L27" i="29"/>
  <c r="L65" i="29"/>
  <c r="K27" i="29"/>
  <c r="K65" i="29"/>
  <c r="J27" i="29"/>
  <c r="J65" i="29"/>
  <c r="I27" i="29"/>
  <c r="I65" i="29"/>
  <c r="H27" i="29"/>
  <c r="H65" i="29"/>
  <c r="G27" i="29"/>
  <c r="C66" i="29" a="1"/>
  <c r="F27" i="29"/>
  <c r="F65" i="29"/>
  <c r="E27" i="29"/>
  <c r="AL42" i="23"/>
  <c r="AK42" i="23"/>
  <c r="AJ42" i="23"/>
  <c r="AI42" i="23"/>
  <c r="AH42" i="23"/>
  <c r="AG42" i="23"/>
  <c r="AF42" i="23"/>
  <c r="AE42" i="23"/>
  <c r="AD42" i="23"/>
  <c r="AC42" i="23"/>
  <c r="AB42" i="23"/>
  <c r="AA42" i="23"/>
  <c r="Z42" i="23"/>
  <c r="Y42" i="23"/>
  <c r="X42" i="23"/>
  <c r="W42" i="23"/>
  <c r="V42" i="23"/>
  <c r="U42" i="23"/>
  <c r="T42" i="23"/>
  <c r="S42" i="23"/>
  <c r="R42" i="23"/>
  <c r="Q42" i="23"/>
  <c r="P42" i="23"/>
  <c r="O42" i="23"/>
  <c r="N42" i="23"/>
  <c r="M42" i="23"/>
  <c r="L42" i="23"/>
  <c r="K42" i="23"/>
  <c r="J42" i="23"/>
  <c r="I42" i="23"/>
  <c r="H42" i="23"/>
  <c r="G42" i="23"/>
  <c r="F42" i="23"/>
  <c r="B40" i="23"/>
  <c r="AL45" i="23"/>
  <c r="AL21" i="23" s="1"/>
  <c r="AL37" i="23"/>
  <c r="AL9" i="23" s="1"/>
  <c r="AK45" i="23"/>
  <c r="AK21" i="23" s="1"/>
  <c r="AK37" i="23"/>
  <c r="AK9" i="23" s="1"/>
  <c r="AJ45" i="23"/>
  <c r="AJ21" i="23" s="1"/>
  <c r="AI45" i="23"/>
  <c r="AI21" i="23" s="1"/>
  <c r="AH45" i="23"/>
  <c r="AH21" i="23" s="1"/>
  <c r="AG45" i="23"/>
  <c r="AG21" i="23" s="1"/>
  <c r="AF45" i="23"/>
  <c r="AF21" i="23" s="1"/>
  <c r="AE45" i="23"/>
  <c r="AE21" i="23" s="1"/>
  <c r="AD45" i="23"/>
  <c r="AD21" i="23" s="1"/>
  <c r="AC45" i="23"/>
  <c r="AC21" i="23" s="1"/>
  <c r="AB45" i="23"/>
  <c r="AB21" i="23" s="1"/>
  <c r="AA45" i="23"/>
  <c r="AA21" i="23" s="1"/>
  <c r="Z45" i="23"/>
  <c r="Z21" i="23" s="1"/>
  <c r="E45" i="23"/>
  <c r="D45" i="23"/>
  <c r="AJ37" i="23"/>
  <c r="AJ9" i="23" s="1"/>
  <c r="AI37" i="23"/>
  <c r="AI9" i="23" s="1"/>
  <c r="AH37" i="23"/>
  <c r="AH9" i="23" s="1"/>
  <c r="AG37" i="23"/>
  <c r="AG9" i="23" s="1"/>
  <c r="AF37" i="23"/>
  <c r="AF9" i="23" s="1"/>
  <c r="AE37" i="23"/>
  <c r="AE9" i="23" s="1"/>
  <c r="AD37" i="23"/>
  <c r="AD9" i="23" s="1"/>
  <c r="AC37" i="23"/>
  <c r="AC9" i="23" s="1"/>
  <c r="AB37" i="23"/>
  <c r="AB9" i="23" s="1"/>
  <c r="AA37" i="23"/>
  <c r="AA9" i="23" s="1"/>
  <c r="Z37" i="23"/>
  <c r="Z9" i="23" s="1"/>
  <c r="D37" i="23"/>
  <c r="E37" i="23"/>
  <c r="AL34" i="23"/>
  <c r="AK34" i="23"/>
  <c r="AJ34" i="23"/>
  <c r="AI34" i="23"/>
  <c r="AH34" i="23"/>
  <c r="AG34" i="23"/>
  <c r="AF34" i="23"/>
  <c r="AE34" i="23"/>
  <c r="AD34" i="23"/>
  <c r="AC34" i="23"/>
  <c r="AB34" i="23"/>
  <c r="AA34" i="23"/>
  <c r="Z34" i="23"/>
  <c r="Y34" i="23"/>
  <c r="X34" i="23"/>
  <c r="W34" i="23"/>
  <c r="V34" i="23"/>
  <c r="U34" i="23"/>
  <c r="T34" i="23"/>
  <c r="S34" i="23"/>
  <c r="R34" i="23"/>
  <c r="Q34" i="23"/>
  <c r="P34" i="23"/>
  <c r="O34" i="23"/>
  <c r="N34" i="23"/>
  <c r="M34" i="23"/>
  <c r="L34" i="23"/>
  <c r="K34" i="23"/>
  <c r="J34" i="23"/>
  <c r="I34" i="23"/>
  <c r="H34" i="23"/>
  <c r="G34" i="23"/>
  <c r="F34" i="23"/>
  <c r="B32" i="23"/>
  <c r="O207" i="22"/>
  <c r="K241" i="22"/>
  <c r="K201" i="22"/>
  <c r="K161" i="22"/>
  <c r="K121" i="22"/>
  <c r="K81" i="22"/>
  <c r="O206" i="22"/>
  <c r="O46" i="22"/>
  <c r="O6" i="22"/>
  <c r="K40" i="22"/>
  <c r="K39" i="22"/>
  <c r="K38" i="22"/>
  <c r="K37" i="22"/>
  <c r="K36" i="22"/>
  <c r="K35" i="22"/>
  <c r="K34" i="22"/>
  <c r="K33" i="22"/>
  <c r="K32" i="22"/>
  <c r="K31" i="22"/>
  <c r="K30" i="22"/>
  <c r="K29" i="22"/>
  <c r="K28" i="22"/>
  <c r="K27" i="22"/>
  <c r="K26" i="22"/>
  <c r="K25" i="22"/>
  <c r="K24" i="22"/>
  <c r="K23" i="22"/>
  <c r="K22" i="22"/>
  <c r="K21" i="22"/>
  <c r="K20" i="22"/>
  <c r="K19" i="22"/>
  <c r="K18" i="22"/>
  <c r="K17" i="22"/>
  <c r="K16" i="22"/>
  <c r="K15" i="22"/>
  <c r="K14" i="22"/>
  <c r="K13" i="22"/>
  <c r="K12" i="22"/>
  <c r="K11" i="22"/>
  <c r="K10" i="22"/>
  <c r="K9" i="22"/>
  <c r="K41" i="22"/>
  <c r="K8" i="22"/>
  <c r="K7" i="22"/>
  <c r="K6" i="22"/>
  <c r="N5" i="22"/>
  <c r="N5" i="33"/>
  <c r="M5" i="22"/>
  <c r="M5" i="33"/>
  <c r="L5" i="22"/>
  <c r="L5" i="33"/>
  <c r="K5" i="22"/>
  <c r="K5" i="33"/>
  <c r="J5" i="22"/>
  <c r="J5" i="33"/>
  <c r="I5" i="22"/>
  <c r="I5" i="33"/>
  <c r="H5" i="22"/>
  <c r="H5" i="33"/>
  <c r="G5" i="22"/>
  <c r="G5" i="33"/>
  <c r="F5" i="22"/>
  <c r="F5" i="33"/>
  <c r="E5" i="22"/>
  <c r="E5" i="33"/>
  <c r="D5" i="22"/>
  <c r="D5" i="33"/>
  <c r="C5" i="22"/>
  <c r="C5" i="33"/>
  <c r="N165" i="22"/>
  <c r="M165" i="22"/>
  <c r="L165" i="22"/>
  <c r="K165" i="22"/>
  <c r="J165" i="22"/>
  <c r="I165" i="22"/>
  <c r="H165" i="22"/>
  <c r="G165" i="22"/>
  <c r="F165" i="22"/>
  <c r="E165" i="22"/>
  <c r="D165" i="22"/>
  <c r="C165" i="22"/>
  <c r="N125" i="22"/>
  <c r="M125" i="22"/>
  <c r="L125" i="22"/>
  <c r="K125" i="22"/>
  <c r="J125" i="22"/>
  <c r="I125" i="22"/>
  <c r="H125" i="22"/>
  <c r="G125" i="22"/>
  <c r="F125" i="22"/>
  <c r="E125" i="22"/>
  <c r="D125" i="22"/>
  <c r="C125" i="22"/>
  <c r="N85" i="22"/>
  <c r="M85" i="22"/>
  <c r="L85" i="22"/>
  <c r="K85" i="22"/>
  <c r="J85" i="22"/>
  <c r="I85" i="22"/>
  <c r="H85" i="22"/>
  <c r="G85" i="22"/>
  <c r="F85" i="22"/>
  <c r="E85" i="22"/>
  <c r="D85" i="22"/>
  <c r="C85" i="22"/>
  <c r="C13" i="29"/>
  <c r="C14" i="29"/>
  <c r="C15" i="29"/>
  <c r="C12" i="29"/>
  <c r="B13" i="29"/>
  <c r="B14" i="29"/>
  <c r="D27" i="29"/>
  <c r="B15" i="29"/>
  <c r="D65" i="29"/>
  <c r="B16" i="29"/>
  <c r="B12" i="29"/>
  <c r="C9" i="6"/>
  <c r="C14" i="23"/>
  <c r="C11" i="24"/>
  <c r="C10" i="24"/>
  <c r="C9" i="24"/>
  <c r="C24" i="27"/>
  <c r="C39" i="5"/>
  <c r="C42" i="5"/>
  <c r="AH20" i="27"/>
  <c r="AH20" i="32"/>
  <c r="AI20" i="27"/>
  <c r="AJ20" i="27"/>
  <c r="AJ20" i="32"/>
  <c r="AK20" i="27"/>
  <c r="AK18" i="31"/>
  <c r="AL20" i="27"/>
  <c r="AL18" i="31"/>
  <c r="AH21" i="25"/>
  <c r="AI21" i="25"/>
  <c r="AJ21" i="25"/>
  <c r="AK21" i="25"/>
  <c r="AL21" i="25"/>
  <c r="AH8" i="24"/>
  <c r="AI8" i="24"/>
  <c r="AJ8" i="24"/>
  <c r="AK8" i="24"/>
  <c r="AL8" i="24"/>
  <c r="AH8" i="6"/>
  <c r="AI8" i="6"/>
  <c r="AJ8" i="6"/>
  <c r="AK8" i="6"/>
  <c r="AL8" i="6"/>
  <c r="B1" i="25"/>
  <c r="B1" i="28"/>
  <c r="B1" i="32"/>
  <c r="B1" i="31"/>
  <c r="B1" i="29"/>
  <c r="AG20" i="27"/>
  <c r="AG20" i="32"/>
  <c r="AF20" i="27"/>
  <c r="AE20" i="27"/>
  <c r="AE20" i="32"/>
  <c r="AD20" i="27"/>
  <c r="AD20" i="32"/>
  <c r="AC20" i="27"/>
  <c r="AB20" i="27"/>
  <c r="AA20" i="27"/>
  <c r="Z20" i="27"/>
  <c r="Z20" i="32"/>
  <c r="Y20" i="27"/>
  <c r="X20" i="27"/>
  <c r="X20" i="32"/>
  <c r="W20" i="27"/>
  <c r="V20" i="27"/>
  <c r="V20" i="32"/>
  <c r="U20" i="27"/>
  <c r="T20" i="27"/>
  <c r="T20" i="32"/>
  <c r="S20" i="27"/>
  <c r="S18" i="31"/>
  <c r="R20" i="27"/>
  <c r="Q20" i="27"/>
  <c r="P20" i="27"/>
  <c r="P20" i="32"/>
  <c r="O20" i="27"/>
  <c r="O20" i="32"/>
  <c r="N20" i="27"/>
  <c r="N20" i="32"/>
  <c r="M20" i="27"/>
  <c r="L20" i="27"/>
  <c r="L20" i="32"/>
  <c r="K20" i="27"/>
  <c r="K20" i="32"/>
  <c r="J20" i="27"/>
  <c r="I20" i="27"/>
  <c r="I18" i="31"/>
  <c r="H20" i="27"/>
  <c r="H20" i="32"/>
  <c r="G20" i="27"/>
  <c r="F20" i="27"/>
  <c r="F18" i="31"/>
  <c r="E20" i="27"/>
  <c r="D20" i="27"/>
  <c r="B1" i="27"/>
  <c r="AG21" i="25"/>
  <c r="AF21" i="25"/>
  <c r="AE21" i="25"/>
  <c r="AD21" i="25"/>
  <c r="AC21" i="25"/>
  <c r="AB21" i="25"/>
  <c r="AA21" i="25"/>
  <c r="Z21" i="25"/>
  <c r="Y21" i="25"/>
  <c r="X21" i="25"/>
  <c r="W21" i="25"/>
  <c r="V21" i="25"/>
  <c r="U21" i="25"/>
  <c r="T21" i="25"/>
  <c r="S21" i="25"/>
  <c r="R21" i="25"/>
  <c r="Q21" i="25"/>
  <c r="P21" i="25"/>
  <c r="O21" i="25"/>
  <c r="N21" i="25"/>
  <c r="M21" i="25"/>
  <c r="L21" i="25"/>
  <c r="K21" i="25"/>
  <c r="J21" i="25"/>
  <c r="I21" i="25"/>
  <c r="H21" i="25"/>
  <c r="G21" i="25"/>
  <c r="F21" i="25"/>
  <c r="C21" i="25"/>
  <c r="E21" i="25"/>
  <c r="D21" i="25"/>
  <c r="B1" i="24"/>
  <c r="B1" i="23"/>
  <c r="B1" i="6"/>
  <c r="B1" i="5"/>
  <c r="B1" i="4"/>
  <c r="AG8" i="24"/>
  <c r="AF8" i="24"/>
  <c r="AE8" i="24"/>
  <c r="AD8" i="24"/>
  <c r="AC8" i="24"/>
  <c r="AB8" i="24"/>
  <c r="AA8" i="24"/>
  <c r="Z8" i="24"/>
  <c r="Y8" i="24"/>
  <c r="X8" i="24"/>
  <c r="W8" i="24"/>
  <c r="V8" i="24"/>
  <c r="U8" i="24"/>
  <c r="T8" i="24"/>
  <c r="S8" i="24"/>
  <c r="R8" i="24"/>
  <c r="Q8" i="24"/>
  <c r="P8" i="24"/>
  <c r="O8" i="24"/>
  <c r="N8" i="24"/>
  <c r="M8" i="24"/>
  <c r="L8" i="24"/>
  <c r="K8" i="24"/>
  <c r="J8" i="24"/>
  <c r="I8" i="24"/>
  <c r="H8" i="24"/>
  <c r="G8" i="24"/>
  <c r="F8" i="24"/>
  <c r="E8" i="24"/>
  <c r="C8" i="24"/>
  <c r="D8" i="24"/>
  <c r="AG8" i="6"/>
  <c r="AF8" i="6"/>
  <c r="AE8" i="6"/>
  <c r="AD8" i="6"/>
  <c r="AC8" i="6"/>
  <c r="AB8" i="6"/>
  <c r="AA8" i="6"/>
  <c r="Z8" i="6"/>
  <c r="Y8" i="6"/>
  <c r="X8" i="6"/>
  <c r="W8" i="6"/>
  <c r="V8" i="6"/>
  <c r="U8" i="6"/>
  <c r="T8" i="6"/>
  <c r="S8" i="6"/>
  <c r="R8" i="6"/>
  <c r="Q8" i="6"/>
  <c r="P8" i="6"/>
  <c r="O8" i="6"/>
  <c r="N8" i="6"/>
  <c r="M8" i="6"/>
  <c r="L8" i="6"/>
  <c r="K8" i="6"/>
  <c r="J8" i="6"/>
  <c r="I8" i="6"/>
  <c r="H8" i="6"/>
  <c r="G8" i="6"/>
  <c r="C8" i="6"/>
  <c r="F8" i="6"/>
  <c r="E8" i="6"/>
  <c r="D8" i="6"/>
  <c r="V37" i="23"/>
  <c r="V9" i="23" s="1"/>
  <c r="X37" i="23"/>
  <c r="X9" i="23" s="1"/>
  <c r="U37" i="23"/>
  <c r="U9" i="23" s="1"/>
  <c r="W37" i="23"/>
  <c r="W9" i="23" s="1"/>
  <c r="S37" i="23"/>
  <c r="S9" i="23" s="1"/>
  <c r="T37" i="23"/>
  <c r="T9" i="23" s="1"/>
  <c r="Y37" i="23"/>
  <c r="Y9" i="23" s="1"/>
  <c r="U45" i="23"/>
  <c r="U21" i="23" s="1"/>
  <c r="S45" i="23"/>
  <c r="S21" i="23" s="1"/>
  <c r="W45" i="23"/>
  <c r="W21" i="23" s="1"/>
  <c r="Y45" i="23"/>
  <c r="Y21" i="23" s="1"/>
  <c r="V45" i="23"/>
  <c r="V21" i="23" s="1"/>
  <c r="T45" i="23"/>
  <c r="T21" i="23" s="1"/>
  <c r="X45" i="23"/>
  <c r="X21" i="23" s="1"/>
  <c r="C7" i="32"/>
  <c r="C18" i="23"/>
  <c r="D13" i="23"/>
  <c r="D26" i="23"/>
  <c r="D30" i="32"/>
  <c r="E13" i="23"/>
  <c r="E26" i="23"/>
  <c r="E30" i="32"/>
  <c r="E23" i="23"/>
  <c r="C6" i="23"/>
  <c r="D23" i="23"/>
  <c r="C6" i="24"/>
  <c r="F23" i="23"/>
  <c r="F13" i="23"/>
  <c r="F22" i="23"/>
  <c r="F7" i="24"/>
  <c r="G23" i="23"/>
  <c r="G13" i="23"/>
  <c r="G22" i="23"/>
  <c r="G7" i="24"/>
  <c r="H23" i="23"/>
  <c r="H13" i="23"/>
  <c r="H22" i="23"/>
  <c r="H10" i="32"/>
  <c r="I23" i="23"/>
  <c r="I13" i="23"/>
  <c r="I22" i="23"/>
  <c r="I10" i="32"/>
  <c r="J23" i="23"/>
  <c r="J13" i="23"/>
  <c r="J22" i="23"/>
  <c r="K23" i="23"/>
  <c r="K13" i="23"/>
  <c r="K22" i="23"/>
  <c r="K7" i="24"/>
  <c r="L23" i="23"/>
  <c r="L13" i="23"/>
  <c r="L22" i="23"/>
  <c r="L10" i="32"/>
  <c r="M23" i="23"/>
  <c r="M13" i="23"/>
  <c r="M22" i="23"/>
  <c r="M10" i="32"/>
  <c r="N23" i="23"/>
  <c r="N13" i="23"/>
  <c r="N22" i="23"/>
  <c r="N7" i="24"/>
  <c r="O23" i="23"/>
  <c r="O13" i="23"/>
  <c r="O22" i="23"/>
  <c r="P23" i="23"/>
  <c r="P13" i="23"/>
  <c r="P22" i="23"/>
  <c r="P10" i="32"/>
  <c r="Q23" i="23"/>
  <c r="Q13" i="23"/>
  <c r="Q22" i="23"/>
  <c r="Q7" i="24"/>
  <c r="R23" i="23"/>
  <c r="R13" i="23"/>
  <c r="R22" i="23"/>
  <c r="S23" i="23"/>
  <c r="S13" i="23"/>
  <c r="S22" i="23"/>
  <c r="T23" i="23"/>
  <c r="T13" i="23"/>
  <c r="T22" i="23"/>
  <c r="T10" i="32"/>
  <c r="U23" i="23"/>
  <c r="U13" i="23"/>
  <c r="U22" i="23"/>
  <c r="U10" i="32"/>
  <c r="V23" i="23"/>
  <c r="V13" i="23"/>
  <c r="V22" i="23"/>
  <c r="V7" i="24"/>
  <c r="W23" i="23"/>
  <c r="W13" i="23"/>
  <c r="W22" i="23"/>
  <c r="W10" i="32"/>
  <c r="X23" i="23"/>
  <c r="X13" i="23"/>
  <c r="X22" i="23"/>
  <c r="X10" i="32"/>
  <c r="Y23" i="23"/>
  <c r="Y13" i="23"/>
  <c r="Y22" i="23"/>
  <c r="Y10" i="32"/>
  <c r="Z23" i="23"/>
  <c r="Z13" i="23"/>
  <c r="Z22" i="23"/>
  <c r="Z10" i="32"/>
  <c r="AA23" i="23"/>
  <c r="AA13" i="23"/>
  <c r="AA22" i="23"/>
  <c r="AA7" i="24"/>
  <c r="AB23" i="23"/>
  <c r="AB13" i="23"/>
  <c r="AB22" i="23"/>
  <c r="AC23" i="23"/>
  <c r="AC13" i="23"/>
  <c r="AC22" i="23"/>
  <c r="AC10" i="32"/>
  <c r="AD23" i="23"/>
  <c r="AD13" i="23"/>
  <c r="AD22" i="23"/>
  <c r="AD10" i="32"/>
  <c r="AE23" i="23"/>
  <c r="AE13" i="23"/>
  <c r="AE22" i="23"/>
  <c r="AE7" i="24"/>
  <c r="AF23" i="23"/>
  <c r="AF13" i="23"/>
  <c r="AF22" i="23"/>
  <c r="AF7" i="24"/>
  <c r="AG23" i="23"/>
  <c r="AG13" i="23"/>
  <c r="AG22" i="23"/>
  <c r="AG7" i="24"/>
  <c r="AH23" i="23"/>
  <c r="AH13" i="23"/>
  <c r="AH22" i="23"/>
  <c r="AH7" i="24"/>
  <c r="AI23" i="23"/>
  <c r="AI13" i="23"/>
  <c r="AI22" i="23"/>
  <c r="AI7" i="24"/>
  <c r="AJ23" i="23"/>
  <c r="AJ13" i="23"/>
  <c r="AJ22" i="23"/>
  <c r="AJ10" i="32"/>
  <c r="AK23" i="23"/>
  <c r="AK13" i="23"/>
  <c r="AK22" i="23"/>
  <c r="AK7" i="24"/>
  <c r="AL23" i="23"/>
  <c r="C12" i="23"/>
  <c r="AL13" i="23"/>
  <c r="C15" i="23"/>
  <c r="AL22" i="23"/>
  <c r="AL10" i="32"/>
  <c r="C11" i="23"/>
  <c r="M6" i="22"/>
  <c r="D6" i="22"/>
  <c r="G6" i="22"/>
  <c r="G41" i="22"/>
  <c r="E6" i="22"/>
  <c r="N6" i="22"/>
  <c r="Q208" i="22"/>
  <c r="J6" i="22"/>
  <c r="F6" i="22"/>
  <c r="Q166" i="22"/>
  <c r="O166" i="22"/>
  <c r="L6" i="22"/>
  <c r="L41" i="22"/>
  <c r="I6" i="22"/>
  <c r="H6" i="22"/>
  <c r="O208" i="22"/>
  <c r="O87" i="22"/>
  <c r="O121" i="22"/>
  <c r="Q87" i="22"/>
  <c r="O128" i="22"/>
  <c r="Q126" i="22"/>
  <c r="O126" i="22"/>
  <c r="C6" i="22"/>
  <c r="O86" i="22"/>
  <c r="Q86" i="22"/>
  <c r="O209" i="22"/>
  <c r="O9" i="22"/>
  <c r="O168" i="22"/>
  <c r="Q128" i="22"/>
  <c r="Q167" i="22"/>
  <c r="O167" i="22"/>
  <c r="O201" i="22"/>
  <c r="Q88" i="22"/>
  <c r="O88" i="22"/>
  <c r="Q209" i="22"/>
  <c r="O127" i="22"/>
  <c r="Q127" i="22"/>
  <c r="Q168" i="22"/>
  <c r="Q129" i="22"/>
  <c r="Q89" i="22"/>
  <c r="O89" i="22"/>
  <c r="O129" i="22"/>
  <c r="O169" i="22"/>
  <c r="O210" i="22"/>
  <c r="Q210" i="22"/>
  <c r="Q169" i="22"/>
  <c r="O90" i="22"/>
  <c r="Q90" i="22"/>
  <c r="O170" i="22"/>
  <c r="Q170" i="22"/>
  <c r="Q211" i="22"/>
  <c r="O130" i="22"/>
  <c r="Q130" i="22"/>
  <c r="O211" i="22"/>
  <c r="Q212" i="22"/>
  <c r="Q131" i="22"/>
  <c r="Q161" i="22"/>
  <c r="O131" i="22"/>
  <c r="O91" i="22"/>
  <c r="O171" i="22"/>
  <c r="Q91" i="22"/>
  <c r="O212" i="22"/>
  <c r="Q171" i="22"/>
  <c r="Q213" i="22"/>
  <c r="Q172" i="22"/>
  <c r="Q92" i="22"/>
  <c r="O132" i="22"/>
  <c r="O92" i="22"/>
  <c r="C7" i="22"/>
  <c r="C41" i="22"/>
  <c r="M7" i="22"/>
  <c r="F7" i="22"/>
  <c r="L7" i="22"/>
  <c r="Q93" i="22"/>
  <c r="O213" i="22"/>
  <c r="D7" i="22"/>
  <c r="Q173" i="22"/>
  <c r="N7" i="22"/>
  <c r="N41" i="22"/>
  <c r="O172" i="22"/>
  <c r="Q132" i="22"/>
  <c r="O173" i="22"/>
  <c r="O133" i="22"/>
  <c r="O13" i="22"/>
  <c r="H7" i="22"/>
  <c r="E7" i="22"/>
  <c r="G7" i="22"/>
  <c r="Q214" i="22"/>
  <c r="Q241" i="22"/>
  <c r="O93" i="22"/>
  <c r="Q133" i="22"/>
  <c r="O214" i="22"/>
  <c r="O47" i="22"/>
  <c r="J7" i="22"/>
  <c r="I7" i="22"/>
  <c r="Q174" i="22"/>
  <c r="N8" i="22"/>
  <c r="Q215" i="22"/>
  <c r="O94" i="22"/>
  <c r="L8" i="22"/>
  <c r="C8" i="22"/>
  <c r="Q134" i="22"/>
  <c r="Q94" i="22"/>
  <c r="O215" i="22"/>
  <c r="O174" i="22"/>
  <c r="O14" i="22"/>
  <c r="C9" i="22"/>
  <c r="O134" i="22"/>
  <c r="M9" i="22"/>
  <c r="H8" i="22"/>
  <c r="H41" i="22"/>
  <c r="L9" i="22"/>
  <c r="O135" i="22"/>
  <c r="O175" i="22"/>
  <c r="Q95" i="22"/>
  <c r="Q216" i="22"/>
  <c r="O216" i="22"/>
  <c r="D8" i="22"/>
  <c r="M8" i="22"/>
  <c r="Q135" i="22"/>
  <c r="O95" i="22"/>
  <c r="G8" i="22"/>
  <c r="E8" i="22"/>
  <c r="C10" i="22"/>
  <c r="Q175" i="22"/>
  <c r="M10" i="22"/>
  <c r="G9" i="22"/>
  <c r="I8" i="22"/>
  <c r="J8" i="22"/>
  <c r="O96" i="22"/>
  <c r="Q96" i="22"/>
  <c r="Q136" i="22"/>
  <c r="Q217" i="22"/>
  <c r="F8" i="22"/>
  <c r="O48" i="22"/>
  <c r="O8" i="22"/>
  <c r="J9" i="22"/>
  <c r="D9" i="22"/>
  <c r="N9" i="22"/>
  <c r="O176" i="22"/>
  <c r="O16" i="22"/>
  <c r="O217" i="22"/>
  <c r="H9" i="22"/>
  <c r="F9" i="22"/>
  <c r="Q176" i="22"/>
  <c r="O136" i="22"/>
  <c r="H10" i="22"/>
  <c r="N11" i="22"/>
  <c r="I9" i="22"/>
  <c r="E9" i="22"/>
  <c r="N10" i="22"/>
  <c r="D10" i="22"/>
  <c r="L11" i="22"/>
  <c r="Q137" i="22"/>
  <c r="O137" i="22"/>
  <c r="O97" i="22"/>
  <c r="O218" i="22"/>
  <c r="M11" i="22"/>
  <c r="C11" i="22"/>
  <c r="J10" i="22"/>
  <c r="L10" i="22"/>
  <c r="O49" i="22"/>
  <c r="Q97" i="22"/>
  <c r="Q177" i="22"/>
  <c r="Q218" i="22"/>
  <c r="O177" i="22"/>
  <c r="O138" i="22"/>
  <c r="J11" i="22"/>
  <c r="I11" i="22"/>
  <c r="Q178" i="22"/>
  <c r="O178" i="22"/>
  <c r="H11" i="22"/>
  <c r="F10" i="22"/>
  <c r="G10" i="22"/>
  <c r="I10" i="22"/>
  <c r="Q219" i="22"/>
  <c r="O219" i="22"/>
  <c r="Q138" i="22"/>
  <c r="C12" i="22"/>
  <c r="N12" i="22"/>
  <c r="C13" i="22"/>
  <c r="L12" i="22"/>
  <c r="E10" i="22"/>
  <c r="O98" i="22"/>
  <c r="O50" i="22"/>
  <c r="Q98" i="22"/>
  <c r="L13" i="22"/>
  <c r="C14" i="22"/>
  <c r="G12" i="22"/>
  <c r="M13" i="22"/>
  <c r="Q99" i="22"/>
  <c r="O99" i="22"/>
  <c r="J12" i="22"/>
  <c r="Q220" i="22"/>
  <c r="O220" i="22"/>
  <c r="M12" i="22"/>
  <c r="O139" i="22"/>
  <c r="Q139" i="22"/>
  <c r="O179" i="22"/>
  <c r="Q179" i="22"/>
  <c r="F11" i="22"/>
  <c r="G11" i="22"/>
  <c r="D11" i="22"/>
  <c r="E11" i="22"/>
  <c r="H12" i="22"/>
  <c r="I12" i="22"/>
  <c r="J13" i="22"/>
  <c r="G13" i="22"/>
  <c r="H13" i="22"/>
  <c r="N13" i="22"/>
  <c r="F12" i="22"/>
  <c r="E12" i="22"/>
  <c r="Q140" i="22"/>
  <c r="O140" i="22"/>
  <c r="D12" i="22"/>
  <c r="O52" i="22"/>
  <c r="O221" i="22"/>
  <c r="Q221" i="22"/>
  <c r="Q180" i="22"/>
  <c r="O100" i="22"/>
  <c r="Q100" i="22"/>
  <c r="O180" i="22"/>
  <c r="O141" i="22"/>
  <c r="Q141" i="22"/>
  <c r="M14" i="22"/>
  <c r="L14" i="22"/>
  <c r="D13" i="22"/>
  <c r="O53" i="22"/>
  <c r="E14" i="22"/>
  <c r="Q222" i="22"/>
  <c r="E13" i="22"/>
  <c r="Q181" i="22"/>
  <c r="O181" i="22"/>
  <c r="H14" i="22"/>
  <c r="G14" i="22"/>
  <c r="M15" i="22"/>
  <c r="N14" i="22"/>
  <c r="C15" i="22"/>
  <c r="I14" i="22"/>
  <c r="F14" i="22"/>
  <c r="L15" i="22"/>
  <c r="I13" i="22"/>
  <c r="F13" i="22"/>
  <c r="Q101" i="22"/>
  <c r="O101" i="22"/>
  <c r="O222" i="22"/>
  <c r="Q102" i="22"/>
  <c r="O102" i="22"/>
  <c r="J15" i="22"/>
  <c r="C16" i="22"/>
  <c r="J14" i="22"/>
  <c r="N15" i="22"/>
  <c r="D14" i="22"/>
  <c r="D41" i="22"/>
  <c r="O54" i="22"/>
  <c r="O223" i="22"/>
  <c r="Q142" i="22"/>
  <c r="O182" i="22"/>
  <c r="O22" i="22"/>
  <c r="Q182" i="22"/>
  <c r="H15" i="22"/>
  <c r="I15" i="22"/>
  <c r="N16" i="22"/>
  <c r="M16" i="22"/>
  <c r="Q223" i="22"/>
  <c r="O142" i="22"/>
  <c r="H16" i="22"/>
  <c r="C18" i="22"/>
  <c r="F15" i="22"/>
  <c r="C17" i="22"/>
  <c r="Q143" i="22"/>
  <c r="O143" i="22"/>
  <c r="E16" i="22"/>
  <c r="G16" i="22"/>
  <c r="Q224" i="22"/>
  <c r="J16" i="22"/>
  <c r="L17" i="22"/>
  <c r="G15" i="22"/>
  <c r="I16" i="22"/>
  <c r="D15" i="22"/>
  <c r="O55" i="22"/>
  <c r="Q103" i="22"/>
  <c r="Q183" i="22"/>
  <c r="M17" i="22"/>
  <c r="L16" i="22"/>
  <c r="E15" i="22"/>
  <c r="O224" i="22"/>
  <c r="O24" i="22"/>
  <c r="O183" i="22"/>
  <c r="O103" i="22"/>
  <c r="F16" i="22"/>
  <c r="D16" i="22"/>
  <c r="O56" i="22"/>
  <c r="Q144" i="22"/>
  <c r="O225" i="22"/>
  <c r="Q184" i="22"/>
  <c r="N17" i="22"/>
  <c r="M18" i="22"/>
  <c r="G17" i="22"/>
  <c r="N18" i="22"/>
  <c r="O144" i="22"/>
  <c r="Q225" i="22"/>
  <c r="O184" i="22"/>
  <c r="D17" i="22"/>
  <c r="H17" i="22"/>
  <c r="O104" i="22"/>
  <c r="Q104" i="22"/>
  <c r="L18" i="22"/>
  <c r="Q145" i="22"/>
  <c r="O145" i="22"/>
  <c r="M19" i="22"/>
  <c r="N19" i="22"/>
  <c r="F18" i="22"/>
  <c r="C19" i="22"/>
  <c r="E17" i="22"/>
  <c r="G18" i="22"/>
  <c r="Q185" i="22"/>
  <c r="Q105" i="22"/>
  <c r="O57" i="22"/>
  <c r="O226" i="22"/>
  <c r="F17" i="22"/>
  <c r="D18" i="22"/>
  <c r="J17" i="22"/>
  <c r="Q226" i="22"/>
  <c r="L19" i="22"/>
  <c r="E18" i="22"/>
  <c r="I17" i="22"/>
  <c r="O105" i="22"/>
  <c r="Q57" i="22"/>
  <c r="O185" i="22"/>
  <c r="Q58" i="22"/>
  <c r="N20" i="22"/>
  <c r="H19" i="22"/>
  <c r="I19" i="22"/>
  <c r="D19" i="22"/>
  <c r="C20" i="22"/>
  <c r="J19" i="22"/>
  <c r="O146" i="22"/>
  <c r="Q106" i="22"/>
  <c r="O59" i="22"/>
  <c r="I18" i="22"/>
  <c r="H18" i="22"/>
  <c r="L20" i="22"/>
  <c r="Q227" i="22"/>
  <c r="Q146" i="22"/>
  <c r="O106" i="22"/>
  <c r="J18" i="22"/>
  <c r="O186" i="22"/>
  <c r="Q186" i="22"/>
  <c r="G19" i="22"/>
  <c r="O227" i="22"/>
  <c r="O58" i="22"/>
  <c r="O18" i="22"/>
  <c r="Q59" i="22"/>
  <c r="Q228" i="22"/>
  <c r="C22" i="22"/>
  <c r="G20" i="22"/>
  <c r="F20" i="22"/>
  <c r="M20" i="22"/>
  <c r="D20" i="22"/>
  <c r="E19" i="22"/>
  <c r="O147" i="22"/>
  <c r="O187" i="22"/>
  <c r="O228" i="22"/>
  <c r="O107" i="22"/>
  <c r="Q107" i="22"/>
  <c r="E20" i="22"/>
  <c r="I20" i="22"/>
  <c r="C21" i="22"/>
  <c r="F19" i="22"/>
  <c r="Q147" i="22"/>
  <c r="Q187" i="22"/>
  <c r="O148" i="22"/>
  <c r="O28" i="22"/>
  <c r="H21" i="22"/>
  <c r="L22" i="22"/>
  <c r="Q148" i="22"/>
  <c r="H20" i="22"/>
  <c r="O188" i="22"/>
  <c r="Q188" i="22"/>
  <c r="C23" i="22"/>
  <c r="L21" i="22"/>
  <c r="M21" i="22"/>
  <c r="M22" i="22"/>
  <c r="O60" i="22"/>
  <c r="Q229" i="22"/>
  <c r="O229" i="22"/>
  <c r="J20" i="22"/>
  <c r="N21" i="22"/>
  <c r="Q108" i="22"/>
  <c r="O108" i="22"/>
  <c r="Q60" i="22"/>
  <c r="J22" i="22"/>
  <c r="I22" i="22"/>
  <c r="J21" i="22"/>
  <c r="E21" i="22"/>
  <c r="M23" i="22"/>
  <c r="Q189" i="22"/>
  <c r="O189" i="22"/>
  <c r="G21" i="22"/>
  <c r="N23" i="22"/>
  <c r="D21" i="22"/>
  <c r="Q61" i="22"/>
  <c r="O61" i="22"/>
  <c r="O149" i="22"/>
  <c r="Q149" i="22"/>
  <c r="Q109" i="22"/>
  <c r="O109" i="22"/>
  <c r="F21" i="22"/>
  <c r="I21" i="22"/>
  <c r="Q230" i="22"/>
  <c r="O230" i="22"/>
  <c r="N22" i="22"/>
  <c r="O150" i="22"/>
  <c r="O30" i="22"/>
  <c r="G23" i="22"/>
  <c r="H23" i="22"/>
  <c r="N24" i="22"/>
  <c r="L23" i="22"/>
  <c r="I23" i="22"/>
  <c r="H22" i="22"/>
  <c r="O231" i="22"/>
  <c r="L24" i="22"/>
  <c r="G22" i="22"/>
  <c r="O190" i="22"/>
  <c r="Q190" i="22"/>
  <c r="E22" i="22"/>
  <c r="D22" i="22"/>
  <c r="O62" i="22"/>
  <c r="Q62" i="22"/>
  <c r="E23" i="22"/>
  <c r="O110" i="22"/>
  <c r="Q110" i="22"/>
  <c r="F22" i="22"/>
  <c r="C24" i="22"/>
  <c r="J23" i="22"/>
  <c r="Q231" i="22"/>
  <c r="Q150" i="22"/>
  <c r="O111" i="22"/>
  <c r="O31" i="22"/>
  <c r="O191" i="22"/>
  <c r="N25" i="22"/>
  <c r="C25" i="22"/>
  <c r="C26" i="22"/>
  <c r="Q111" i="22"/>
  <c r="G24" i="22"/>
  <c r="M24" i="22"/>
  <c r="O151" i="22"/>
  <c r="Q232" i="22"/>
  <c r="Q151" i="22"/>
  <c r="Q191" i="22"/>
  <c r="D23" i="22"/>
  <c r="Q63" i="22"/>
  <c r="O63" i="22"/>
  <c r="F23" i="22"/>
  <c r="I24" i="22"/>
  <c r="J24" i="22"/>
  <c r="O232" i="22"/>
  <c r="O112" i="22"/>
  <c r="H25" i="22"/>
  <c r="M26" i="22"/>
  <c r="L25" i="22"/>
  <c r="E25" i="22"/>
  <c r="O233" i="22"/>
  <c r="Q233" i="22"/>
  <c r="H24" i="22"/>
  <c r="F24" i="22"/>
  <c r="D24" i="22"/>
  <c r="O64" i="22"/>
  <c r="Q64" i="22"/>
  <c r="O152" i="22"/>
  <c r="O192" i="22"/>
  <c r="O32" i="22"/>
  <c r="Q152" i="22"/>
  <c r="C27" i="22"/>
  <c r="E24" i="22"/>
  <c r="M25" i="22"/>
  <c r="I25" i="22"/>
  <c r="Q192" i="22"/>
  <c r="L26" i="22"/>
  <c r="F25" i="22"/>
  <c r="N26" i="22"/>
  <c r="G25" i="22"/>
  <c r="Q112" i="22"/>
  <c r="Q193" i="22"/>
  <c r="M27" i="22"/>
  <c r="C28" i="22"/>
  <c r="J26" i="22"/>
  <c r="J25" i="22"/>
  <c r="N27" i="22"/>
  <c r="O113" i="22"/>
  <c r="Q153" i="22"/>
  <c r="O193" i="22"/>
  <c r="O153" i="22"/>
  <c r="I26" i="22"/>
  <c r="Q234" i="22"/>
  <c r="O234" i="22"/>
  <c r="E26" i="22"/>
  <c r="D25" i="22"/>
  <c r="Q65" i="22"/>
  <c r="O65" i="22"/>
  <c r="O25" i="22"/>
  <c r="Q113" i="22"/>
  <c r="O235" i="22"/>
  <c r="J27" i="22"/>
  <c r="N28" i="22"/>
  <c r="F27" i="22"/>
  <c r="D26" i="22"/>
  <c r="Q66" i="22"/>
  <c r="O66" i="22"/>
  <c r="O26" i="22"/>
  <c r="G27" i="22"/>
  <c r="D27" i="22"/>
  <c r="Q194" i="22"/>
  <c r="O154" i="22"/>
  <c r="O194" i="22"/>
  <c r="Q154" i="22"/>
  <c r="O114" i="22"/>
  <c r="Q114" i="22"/>
  <c r="H26" i="22"/>
  <c r="F26" i="22"/>
  <c r="C29" i="22"/>
  <c r="L27" i="22"/>
  <c r="G26" i="22"/>
  <c r="Q235" i="22"/>
  <c r="Q67" i="22"/>
  <c r="O155" i="22"/>
  <c r="I28" i="22"/>
  <c r="L28" i="22"/>
  <c r="Q236" i="22"/>
  <c r="O236" i="22"/>
  <c r="I27" i="22"/>
  <c r="H27" i="22"/>
  <c r="J28" i="22"/>
  <c r="Q155" i="22"/>
  <c r="M28" i="22"/>
  <c r="M29" i="22"/>
  <c r="N29" i="22"/>
  <c r="O195" i="22"/>
  <c r="Q195" i="22"/>
  <c r="C30" i="22"/>
  <c r="E27" i="22"/>
  <c r="O67" i="22"/>
  <c r="O27" i="22"/>
  <c r="G28" i="22"/>
  <c r="O116" i="22"/>
  <c r="O115" i="22"/>
  <c r="Q115" i="22"/>
  <c r="H29" i="22"/>
  <c r="Q196" i="22"/>
  <c r="O196" i="22"/>
  <c r="J29" i="22"/>
  <c r="M30" i="22"/>
  <c r="H241" i="22"/>
  <c r="G241" i="22"/>
  <c r="O156" i="22"/>
  <c r="O36" i="22"/>
  <c r="Q237" i="22"/>
  <c r="L29" i="22"/>
  <c r="L30" i="22"/>
  <c r="E28" i="22"/>
  <c r="H28" i="22"/>
  <c r="L241" i="22"/>
  <c r="M241" i="22"/>
  <c r="Q116" i="22"/>
  <c r="O237" i="22"/>
  <c r="C31" i="22"/>
  <c r="F28" i="22"/>
  <c r="N241" i="22"/>
  <c r="D28" i="22"/>
  <c r="Q68" i="22"/>
  <c r="O68" i="22"/>
  <c r="Q156" i="22"/>
  <c r="E241" i="22"/>
  <c r="I241" i="22"/>
  <c r="Q238" i="22"/>
  <c r="M31" i="22"/>
  <c r="I30" i="22"/>
  <c r="D30" i="22"/>
  <c r="J30" i="22"/>
  <c r="F241" i="22"/>
  <c r="D29" i="22"/>
  <c r="Q69" i="22"/>
  <c r="O69" i="22"/>
  <c r="Q239" i="22"/>
  <c r="O239" i="22"/>
  <c r="I161" i="22"/>
  <c r="M121" i="22"/>
  <c r="Q117" i="22"/>
  <c r="O157" i="22"/>
  <c r="D241" i="22"/>
  <c r="J241" i="22"/>
  <c r="O117" i="22"/>
  <c r="O37" i="22"/>
  <c r="I29" i="22"/>
  <c r="N30" i="22"/>
  <c r="O197" i="22"/>
  <c r="Q197" i="22"/>
  <c r="F29" i="22"/>
  <c r="L161" i="22"/>
  <c r="Q157" i="22"/>
  <c r="E29" i="22"/>
  <c r="G29" i="22"/>
  <c r="E30" i="22"/>
  <c r="F30" i="22"/>
  <c r="N121" i="22"/>
  <c r="M161" i="22"/>
  <c r="G201" i="22"/>
  <c r="O238" i="22"/>
  <c r="N201" i="22"/>
  <c r="L201" i="22"/>
  <c r="H201" i="22"/>
  <c r="J161" i="22"/>
  <c r="Q118" i="22"/>
  <c r="G161" i="22"/>
  <c r="J201" i="22"/>
  <c r="G121" i="22"/>
  <c r="C33" i="22"/>
  <c r="H31" i="22"/>
  <c r="C32" i="22"/>
  <c r="F201" i="22"/>
  <c r="H30" i="22"/>
  <c r="N32" i="22"/>
  <c r="Q199" i="22"/>
  <c r="O199" i="22"/>
  <c r="D201" i="22"/>
  <c r="D161" i="22"/>
  <c r="G31" i="22"/>
  <c r="O198" i="22"/>
  <c r="Q158" i="22"/>
  <c r="D121" i="22"/>
  <c r="L31" i="22"/>
  <c r="O240" i="22"/>
  <c r="Q240" i="22"/>
  <c r="C241" i="22"/>
  <c r="G30" i="22"/>
  <c r="E161" i="22"/>
  <c r="Q198" i="22"/>
  <c r="H121" i="22"/>
  <c r="O70" i="22"/>
  <c r="H161" i="22"/>
  <c r="M201" i="22"/>
  <c r="O158" i="22"/>
  <c r="F121" i="22"/>
  <c r="F161" i="22"/>
  <c r="L32" i="22"/>
  <c r="E121" i="22"/>
  <c r="E31" i="22"/>
  <c r="N31" i="22"/>
  <c r="Q119" i="22"/>
  <c r="O119" i="22"/>
  <c r="J121" i="22"/>
  <c r="L121" i="22"/>
  <c r="E201" i="22"/>
  <c r="I201" i="22"/>
  <c r="Q70" i="22"/>
  <c r="N161" i="22"/>
  <c r="O118" i="22"/>
  <c r="I121" i="22"/>
  <c r="G32" i="22"/>
  <c r="H32" i="22"/>
  <c r="L33" i="22"/>
  <c r="M32" i="22"/>
  <c r="C121" i="22"/>
  <c r="O120" i="22"/>
  <c r="Q120" i="22"/>
  <c r="J31" i="22"/>
  <c r="Q159" i="22"/>
  <c r="O159" i="22"/>
  <c r="O160" i="22"/>
  <c r="O40" i="22"/>
  <c r="Q160" i="22"/>
  <c r="C161" i="22"/>
  <c r="C34" i="22"/>
  <c r="I31" i="22"/>
  <c r="I32" i="22"/>
  <c r="C201" i="22"/>
  <c r="Q200" i="22"/>
  <c r="O200" i="22"/>
  <c r="D31" i="22"/>
  <c r="Q71" i="22"/>
  <c r="O71" i="22"/>
  <c r="F31" i="22"/>
  <c r="J33" i="22"/>
  <c r="D33" i="22"/>
  <c r="L34" i="22"/>
  <c r="M33" i="22"/>
  <c r="E33" i="22"/>
  <c r="E32" i="22"/>
  <c r="O73" i="22"/>
  <c r="J32" i="22"/>
  <c r="G33" i="22"/>
  <c r="D32" i="22"/>
  <c r="O72" i="22"/>
  <c r="Q72" i="22"/>
  <c r="I33" i="22"/>
  <c r="H33" i="22"/>
  <c r="F32" i="22"/>
  <c r="N33" i="22"/>
  <c r="M34" i="22"/>
  <c r="J34" i="22"/>
  <c r="M35" i="22"/>
  <c r="C35" i="22"/>
  <c r="F34" i="22"/>
  <c r="H34" i="22"/>
  <c r="N34" i="22"/>
  <c r="G34" i="22"/>
  <c r="N35" i="22"/>
  <c r="F33" i="22"/>
  <c r="Q73" i="22"/>
  <c r="M36" i="22"/>
  <c r="D34" i="22"/>
  <c r="Q74" i="22"/>
  <c r="O74" i="22"/>
  <c r="O34" i="22"/>
  <c r="J35" i="22"/>
  <c r="N36" i="22"/>
  <c r="I34" i="22"/>
  <c r="C36" i="22"/>
  <c r="E34" i="22"/>
  <c r="L35" i="22"/>
  <c r="I35" i="22"/>
  <c r="H35" i="22"/>
  <c r="L36" i="22"/>
  <c r="J36" i="22"/>
  <c r="E35" i="22"/>
  <c r="D35" i="22"/>
  <c r="O75" i="22"/>
  <c r="Q75" i="22"/>
  <c r="I36" i="22"/>
  <c r="M37" i="22"/>
  <c r="C37" i="22"/>
  <c r="F36" i="22"/>
  <c r="E36" i="22"/>
  <c r="H36" i="22"/>
  <c r="F35" i="22"/>
  <c r="G35" i="22"/>
  <c r="C38" i="22"/>
  <c r="J37" i="22"/>
  <c r="H37" i="22"/>
  <c r="L38" i="22"/>
  <c r="G37" i="22"/>
  <c r="M38" i="22"/>
  <c r="E37" i="22"/>
  <c r="L37" i="22"/>
  <c r="N37" i="22"/>
  <c r="D37" i="22"/>
  <c r="D36" i="22"/>
  <c r="Q76" i="22"/>
  <c r="O76" i="22"/>
  <c r="G36" i="22"/>
  <c r="I37" i="22"/>
  <c r="F37" i="22"/>
  <c r="L39" i="22"/>
  <c r="N38" i="22"/>
  <c r="G38" i="22"/>
  <c r="C39" i="22"/>
  <c r="O77" i="22"/>
  <c r="F38" i="22"/>
  <c r="E38" i="22"/>
  <c r="I38" i="22"/>
  <c r="C40" i="22"/>
  <c r="C81" i="22"/>
  <c r="Q77" i="22"/>
  <c r="G39" i="22"/>
  <c r="E39" i="22"/>
  <c r="J38" i="22"/>
  <c r="L40" i="22"/>
  <c r="L81" i="22"/>
  <c r="N40" i="22"/>
  <c r="N81" i="22"/>
  <c r="D39" i="22"/>
  <c r="I39" i="22"/>
  <c r="D38" i="22"/>
  <c r="O78" i="22"/>
  <c r="Q78" i="22"/>
  <c r="D40" i="22"/>
  <c r="D81" i="22"/>
  <c r="Q79" i="22"/>
  <c r="F40" i="22"/>
  <c r="H38" i="22"/>
  <c r="M39" i="22"/>
  <c r="N39" i="22"/>
  <c r="M40" i="22"/>
  <c r="M81" i="22"/>
  <c r="O79" i="22"/>
  <c r="F81" i="22"/>
  <c r="J39" i="22"/>
  <c r="J40" i="22"/>
  <c r="J81" i="22"/>
  <c r="E40" i="22"/>
  <c r="Q80" i="22"/>
  <c r="O80" i="22"/>
  <c r="E81" i="22"/>
  <c r="G40" i="22"/>
  <c r="G81" i="22"/>
  <c r="H40" i="22"/>
  <c r="H81" i="22"/>
  <c r="F39" i="22"/>
  <c r="I40" i="22"/>
  <c r="I81" i="22"/>
  <c r="H39" i="22"/>
  <c r="G24" i="5"/>
  <c r="H24" i="5"/>
  <c r="H16" i="27"/>
  <c r="H13" i="31"/>
  <c r="I24" i="5"/>
  <c r="I16" i="25"/>
  <c r="J24" i="5"/>
  <c r="J16" i="27"/>
  <c r="J13" i="31"/>
  <c r="K24" i="5"/>
  <c r="L24" i="5"/>
  <c r="L16" i="27"/>
  <c r="L16" i="32"/>
  <c r="M24" i="5"/>
  <c r="M16" i="27"/>
  <c r="M16" i="32"/>
  <c r="N24" i="5"/>
  <c r="N16" i="25"/>
  <c r="O24" i="5"/>
  <c r="O16" i="27"/>
  <c r="P24" i="5"/>
  <c r="P16" i="25"/>
  <c r="Q24" i="5"/>
  <c r="Q16" i="25"/>
  <c r="R24" i="5"/>
  <c r="S24" i="5"/>
  <c r="S16" i="27"/>
  <c r="T24" i="5"/>
  <c r="U24" i="5"/>
  <c r="U16" i="25"/>
  <c r="V24" i="5"/>
  <c r="V16" i="25"/>
  <c r="W24" i="5"/>
  <c r="W16" i="27"/>
  <c r="W16" i="32"/>
  <c r="X24" i="5"/>
  <c r="X16" i="25"/>
  <c r="Y24" i="5"/>
  <c r="Z24" i="5"/>
  <c r="Z16" i="25"/>
  <c r="AA24" i="5"/>
  <c r="AA16" i="25"/>
  <c r="AB24" i="5"/>
  <c r="AC24" i="5"/>
  <c r="AC16" i="25"/>
  <c r="AD24" i="5"/>
  <c r="AD16" i="25"/>
  <c r="AE24" i="5"/>
  <c r="AE16" i="27"/>
  <c r="AF24" i="5"/>
  <c r="AG24" i="5"/>
  <c r="AG16" i="25"/>
  <c r="AH24" i="5"/>
  <c r="AI24" i="5"/>
  <c r="AI16" i="27"/>
  <c r="AJ24" i="5"/>
  <c r="AJ16" i="25"/>
  <c r="AK24" i="5"/>
  <c r="AK16" i="27"/>
  <c r="C29" i="5"/>
  <c r="C10" i="5"/>
  <c r="C32" i="5"/>
  <c r="C6" i="5"/>
  <c r="C34" i="5"/>
  <c r="C26" i="5"/>
  <c r="C5" i="5"/>
  <c r="C31" i="5"/>
  <c r="C17" i="5"/>
  <c r="AL24" i="5"/>
  <c r="AL16" i="27"/>
  <c r="C25" i="5"/>
  <c r="G38" i="5"/>
  <c r="G18" i="25"/>
  <c r="H38" i="5"/>
  <c r="H18" i="25"/>
  <c r="I38" i="5"/>
  <c r="I18" i="25"/>
  <c r="J38" i="5"/>
  <c r="J18" i="25"/>
  <c r="K38" i="5"/>
  <c r="K18" i="27"/>
  <c r="K15" i="31"/>
  <c r="L38" i="5"/>
  <c r="M38" i="5"/>
  <c r="M18" i="27"/>
  <c r="M15" i="31"/>
  <c r="N38" i="5"/>
  <c r="N18" i="25"/>
  <c r="O38" i="5"/>
  <c r="O18" i="27"/>
  <c r="O15" i="31"/>
  <c r="P38" i="5"/>
  <c r="P18" i="25"/>
  <c r="Q38" i="5"/>
  <c r="Q18" i="25"/>
  <c r="R38" i="5"/>
  <c r="S38" i="5"/>
  <c r="S18" i="25"/>
  <c r="T38" i="5"/>
  <c r="T18" i="27"/>
  <c r="T15" i="31"/>
  <c r="U38" i="5"/>
  <c r="U18" i="25"/>
  <c r="V38" i="5"/>
  <c r="V18" i="27"/>
  <c r="V18" i="32"/>
  <c r="C41" i="5"/>
  <c r="W38" i="5"/>
  <c r="W18" i="25"/>
  <c r="X38" i="5"/>
  <c r="Y38" i="5"/>
  <c r="Z38" i="5"/>
  <c r="Z18" i="27"/>
  <c r="AA38" i="5"/>
  <c r="AA18" i="27"/>
  <c r="AB38" i="5"/>
  <c r="AB18" i="27"/>
  <c r="AB18" i="32"/>
  <c r="AC38" i="5"/>
  <c r="AC18" i="25"/>
  <c r="AD38" i="5"/>
  <c r="AD18" i="25"/>
  <c r="AE38" i="5"/>
  <c r="AE18" i="27"/>
  <c r="AF38" i="5"/>
  <c r="AF18" i="25"/>
  <c r="AG38" i="5"/>
  <c r="AH38" i="5"/>
  <c r="AH18" i="27"/>
  <c r="AH18" i="32"/>
  <c r="AI38" i="5"/>
  <c r="AI18" i="25"/>
  <c r="AJ38" i="5"/>
  <c r="AJ18" i="27"/>
  <c r="AK38" i="5"/>
  <c r="AK18" i="25"/>
  <c r="AL38" i="5"/>
  <c r="AL18" i="25"/>
  <c r="C40" i="5"/>
  <c r="AG18" i="31"/>
  <c r="E17" i="28"/>
  <c r="T7" i="24"/>
  <c r="AL7" i="24"/>
  <c r="M18" i="31"/>
  <c r="M20" i="32"/>
  <c r="W47" i="40"/>
  <c r="X84" i="40"/>
  <c r="W63" i="40"/>
  <c r="W57" i="40"/>
  <c r="U71" i="40"/>
  <c r="X71" i="40"/>
  <c r="U49" i="40"/>
  <c r="X49" i="40"/>
  <c r="U55" i="40"/>
  <c r="X55" i="40"/>
  <c r="U65" i="40"/>
  <c r="X65" i="40"/>
  <c r="K7" i="40"/>
  <c r="I7" i="40"/>
  <c r="R7" i="40"/>
  <c r="U67" i="40"/>
  <c r="X67" i="40"/>
  <c r="U76" i="40"/>
  <c r="X76" i="40"/>
  <c r="AB7" i="24"/>
  <c r="AB10" i="32"/>
  <c r="Z7" i="24"/>
  <c r="U14" i="25"/>
  <c r="AC20" i="32"/>
  <c r="AC18" i="31"/>
  <c r="C57" i="5"/>
  <c r="K26" i="32"/>
  <c r="K24" i="31"/>
  <c r="W26" i="32"/>
  <c r="W24" i="31"/>
  <c r="AJ6" i="29"/>
  <c r="AI26" i="32"/>
  <c r="AJ17" i="31"/>
  <c r="E20" i="25"/>
  <c r="P17" i="31"/>
  <c r="K17" i="31"/>
  <c r="K8" i="40"/>
  <c r="I8" i="40"/>
  <c r="C19" i="5"/>
  <c r="K9" i="40"/>
  <c r="I9" i="40"/>
  <c r="G9" i="40"/>
  <c r="E9" i="40"/>
  <c r="R9" i="40"/>
  <c r="C8" i="5"/>
  <c r="C27" i="5"/>
  <c r="C28" i="5"/>
  <c r="C33" i="5"/>
  <c r="C7" i="5"/>
  <c r="Y20" i="32"/>
  <c r="Y18" i="31"/>
  <c r="AH10" i="32"/>
  <c r="X86" i="40"/>
  <c r="F24" i="5"/>
  <c r="I24" i="31"/>
  <c r="U18" i="31"/>
  <c r="U20" i="32"/>
  <c r="D4" i="5"/>
  <c r="D13" i="27" s="1"/>
  <c r="D13" i="32" s="1"/>
  <c r="E65" i="29"/>
  <c r="Q18" i="31"/>
  <c r="Q20" i="32"/>
  <c r="AF24" i="31"/>
  <c r="X83" i="40"/>
  <c r="W80" i="40"/>
  <c r="W84" i="40"/>
  <c r="T14" i="25"/>
  <c r="AF10" i="32"/>
  <c r="L7" i="24"/>
  <c r="G10" i="32"/>
  <c r="N18" i="31"/>
  <c r="F20" i="32"/>
  <c r="AH18" i="31"/>
  <c r="AK10" i="32"/>
  <c r="AC7" i="24"/>
  <c r="F16" i="29"/>
  <c r="AH14" i="25"/>
  <c r="AI20" i="25"/>
  <c r="W62" i="40"/>
  <c r="X18" i="31"/>
  <c r="O20" i="22"/>
  <c r="AG10" i="32"/>
  <c r="I7" i="24"/>
  <c r="Z24" i="31"/>
  <c r="H18" i="31"/>
  <c r="H24" i="31"/>
  <c r="Q10" i="32"/>
  <c r="W46" i="40"/>
  <c r="Y7" i="24"/>
  <c r="W58" i="40"/>
  <c r="AJ18" i="31"/>
  <c r="T18" i="31"/>
  <c r="M7" i="24"/>
  <c r="W50" i="40"/>
  <c r="P18" i="31"/>
  <c r="W85" i="40"/>
  <c r="U73" i="40"/>
  <c r="X73" i="40"/>
  <c r="W78" i="40"/>
  <c r="U53" i="40"/>
  <c r="X53" i="40"/>
  <c r="K10" i="32"/>
  <c r="X89" i="40"/>
  <c r="O7" i="22"/>
  <c r="U69" i="40"/>
  <c r="X69" i="40"/>
  <c r="E16" i="25"/>
  <c r="F17" i="31"/>
  <c r="W45" i="40"/>
  <c r="AE10" i="32"/>
  <c r="W44" i="40"/>
  <c r="O29" i="22"/>
  <c r="O10" i="22"/>
  <c r="E51" i="45"/>
  <c r="O18" i="25"/>
  <c r="G20" i="32"/>
  <c r="G18" i="31"/>
  <c r="W68" i="40"/>
  <c r="U68" i="40"/>
  <c r="X68" i="40"/>
  <c r="D20" i="32"/>
  <c r="D18" i="31"/>
  <c r="W18" i="31"/>
  <c r="W20" i="32"/>
  <c r="AA20" i="32"/>
  <c r="AA18" i="31"/>
  <c r="AE18" i="31"/>
  <c r="AK20" i="32"/>
  <c r="R7" i="24"/>
  <c r="R10" i="32"/>
  <c r="E6" i="29"/>
  <c r="F41" i="22"/>
  <c r="O23" i="22"/>
  <c r="J41" i="22"/>
  <c r="H7" i="24"/>
  <c r="O33" i="22"/>
  <c r="AL20" i="32"/>
  <c r="AA10" i="32"/>
  <c r="O10" i="32"/>
  <c r="O7" i="24"/>
  <c r="C23" i="23"/>
  <c r="J18" i="31"/>
  <c r="J20" i="32"/>
  <c r="R18" i="31"/>
  <c r="R20" i="32"/>
  <c r="Z18" i="31"/>
  <c r="AI20" i="32"/>
  <c r="AI18" i="31"/>
  <c r="C28" i="29" a="1"/>
  <c r="F19" i="32"/>
  <c r="AF20" i="32"/>
  <c r="AF18" i="31"/>
  <c r="O38" i="22"/>
  <c r="J10" i="32"/>
  <c r="J7" i="24"/>
  <c r="C13" i="23"/>
  <c r="R14" i="25"/>
  <c r="U52" i="40"/>
  <c r="X52" i="40"/>
  <c r="W52" i="40"/>
  <c r="U60" i="40"/>
  <c r="X60" i="40"/>
  <c r="W60" i="40"/>
  <c r="W72" i="40"/>
  <c r="U72" i="40"/>
  <c r="X72" i="40"/>
  <c r="W77" i="40"/>
  <c r="U77" i="40"/>
  <c r="X77" i="40"/>
  <c r="BC81" i="40"/>
  <c r="W81" i="40"/>
  <c r="O12" i="22"/>
  <c r="Q81" i="22"/>
  <c r="O161" i="22"/>
  <c r="O19" i="22"/>
  <c r="O15" i="22"/>
  <c r="P26" i="32"/>
  <c r="P24" i="31"/>
  <c r="O17" i="22"/>
  <c r="O21" i="22"/>
  <c r="N26" i="32"/>
  <c r="N24" i="31"/>
  <c r="V26" i="32"/>
  <c r="AD26" i="32"/>
  <c r="O11" i="22"/>
  <c r="AB26" i="32"/>
  <c r="T26" i="32"/>
  <c r="T24" i="31"/>
  <c r="Q121" i="22"/>
  <c r="O39" i="22"/>
  <c r="Q201" i="22"/>
  <c r="I41" i="22"/>
  <c r="AJ7" i="24"/>
  <c r="AD7" i="24"/>
  <c r="P7" i="24"/>
  <c r="N10" i="32"/>
  <c r="F10" i="32"/>
  <c r="E22" i="45"/>
  <c r="O18" i="32"/>
  <c r="C51" i="29"/>
  <c r="E14" i="40"/>
  <c r="I18" i="27"/>
  <c r="I18" i="32"/>
  <c r="V15" i="31"/>
  <c r="J16" i="32"/>
  <c r="N16" i="27"/>
  <c r="N13" i="31"/>
  <c r="F18" i="27"/>
  <c r="F15" i="31"/>
  <c r="D20" i="25"/>
  <c r="P18" i="27"/>
  <c r="P18" i="32"/>
  <c r="M18" i="32"/>
  <c r="AL16" i="25"/>
  <c r="I17" i="31"/>
  <c r="M18" i="25"/>
  <c r="Y14" i="27"/>
  <c r="Y11" i="31"/>
  <c r="R8" i="40"/>
  <c r="E26" i="32"/>
  <c r="E24" i="31"/>
  <c r="D45" i="28"/>
  <c r="AH24" i="31"/>
  <c r="U26" i="32"/>
  <c r="F26" i="32"/>
  <c r="Y24" i="31"/>
  <c r="F28" i="46"/>
  <c r="E13" i="31"/>
  <c r="S26" i="32"/>
  <c r="S24" i="31"/>
  <c r="J26" i="32"/>
  <c r="J24" i="31"/>
  <c r="AK26" i="32"/>
  <c r="AK24" i="31"/>
  <c r="C66" i="29"/>
  <c r="C88" i="29"/>
  <c r="C79" i="29"/>
  <c r="C78" i="29"/>
  <c r="C76" i="29"/>
  <c r="C80" i="29"/>
  <c r="C70" i="29"/>
  <c r="C90" i="29"/>
  <c r="C97" i="29"/>
  <c r="C67" i="29"/>
  <c r="C93" i="29"/>
  <c r="C100" i="29"/>
  <c r="C69" i="29"/>
  <c r="C89" i="29"/>
  <c r="C85" i="29"/>
  <c r="C84" i="29"/>
  <c r="C82" i="29"/>
  <c r="C92" i="29"/>
  <c r="C77" i="29"/>
  <c r="C83" i="29"/>
  <c r="C75" i="29"/>
  <c r="C87" i="29"/>
  <c r="C72" i="29"/>
  <c r="C68" i="29"/>
  <c r="C98" i="29"/>
  <c r="C94" i="29"/>
  <c r="C86" i="29"/>
  <c r="C95" i="29"/>
  <c r="C71" i="29"/>
  <c r="C73" i="29"/>
  <c r="C99" i="29"/>
  <c r="C91" i="29"/>
  <c r="C96" i="29"/>
  <c r="C74" i="29"/>
  <c r="C81" i="29"/>
  <c r="X81" i="40"/>
  <c r="W82" i="40"/>
  <c r="AE26" i="32"/>
  <c r="AE24" i="31"/>
  <c r="J45" i="33"/>
  <c r="J165" i="33"/>
  <c r="J125" i="33"/>
  <c r="J205" i="33"/>
  <c r="J85" i="33"/>
  <c r="G65" i="29"/>
  <c r="O18" i="31"/>
  <c r="W7" i="24"/>
  <c r="L18" i="31"/>
  <c r="AB20" i="25"/>
  <c r="AC26" i="32"/>
  <c r="W75" i="40"/>
  <c r="C45" i="33"/>
  <c r="C205" i="33"/>
  <c r="C165" i="33"/>
  <c r="C85" i="33"/>
  <c r="C125" i="33"/>
  <c r="G45" i="33"/>
  <c r="G205" i="33"/>
  <c r="G165" i="33"/>
  <c r="G85" i="33"/>
  <c r="G125" i="33"/>
  <c r="K45" i="33"/>
  <c r="K125" i="33"/>
  <c r="K85" i="33"/>
  <c r="K165" i="33"/>
  <c r="K205" i="33"/>
  <c r="F45" i="33"/>
  <c r="F165" i="33"/>
  <c r="F125" i="33"/>
  <c r="F205" i="33"/>
  <c r="F85" i="33"/>
  <c r="D10" i="40"/>
  <c r="P9" i="40"/>
  <c r="AI10" i="32"/>
  <c r="U7" i="24"/>
  <c r="U56" i="40"/>
  <c r="X56" i="40"/>
  <c r="Q6" i="22"/>
  <c r="AD18" i="31"/>
  <c r="V18" i="31"/>
  <c r="C47" i="5"/>
  <c r="S20" i="32"/>
  <c r="W87" i="40"/>
  <c r="W74" i="40"/>
  <c r="Q24" i="31"/>
  <c r="U66" i="40"/>
  <c r="X66" i="40"/>
  <c r="I20" i="32"/>
  <c r="AF20" i="25"/>
  <c r="U61" i="40"/>
  <c r="X61" i="40"/>
  <c r="M41" i="22"/>
  <c r="O81" i="22"/>
  <c r="O35" i="22"/>
  <c r="O41" i="22"/>
  <c r="O241" i="22"/>
  <c r="D85" i="33"/>
  <c r="D125" i="33"/>
  <c r="D205" i="33"/>
  <c r="D45" i="33"/>
  <c r="D165" i="33"/>
  <c r="H45" i="33"/>
  <c r="H125" i="33"/>
  <c r="H165" i="33"/>
  <c r="H85" i="33"/>
  <c r="H205" i="33"/>
  <c r="L85" i="33"/>
  <c r="L125" i="33"/>
  <c r="L165" i="33"/>
  <c r="L45" i="33"/>
  <c r="L205" i="33"/>
  <c r="W17" i="31"/>
  <c r="N45" i="33"/>
  <c r="N165" i="33"/>
  <c r="N85" i="33"/>
  <c r="N205" i="33"/>
  <c r="N125" i="33"/>
  <c r="V10" i="32"/>
  <c r="X7" i="24"/>
  <c r="H16" i="32"/>
  <c r="Q14" i="22"/>
  <c r="AH18" i="25"/>
  <c r="Z18" i="25"/>
  <c r="W48" i="40"/>
  <c r="L16" i="25"/>
  <c r="W70" i="40"/>
  <c r="S18" i="27"/>
  <c r="S18" i="32"/>
  <c r="U20" i="25"/>
  <c r="M17" i="31"/>
  <c r="M26" i="32"/>
  <c r="W51" i="40"/>
  <c r="E85" i="33"/>
  <c r="E205" i="33"/>
  <c r="E45" i="33"/>
  <c r="E165" i="33"/>
  <c r="E125" i="33"/>
  <c r="I205" i="33"/>
  <c r="I45" i="33"/>
  <c r="I165" i="33"/>
  <c r="I125" i="33"/>
  <c r="I85" i="33"/>
  <c r="M125" i="33"/>
  <c r="M85" i="33"/>
  <c r="M205" i="33"/>
  <c r="M45" i="33"/>
  <c r="M165" i="33"/>
  <c r="X26" i="32"/>
  <c r="R24" i="31"/>
  <c r="AJ24" i="31"/>
  <c r="AI24" i="31"/>
  <c r="AG24" i="31"/>
  <c r="G25" i="40"/>
  <c r="E25" i="40" s="1"/>
  <c r="J17" i="31"/>
  <c r="Z14" i="27"/>
  <c r="Z14" i="32"/>
  <c r="AD14" i="27"/>
  <c r="AD14" i="32"/>
  <c r="H20" i="25"/>
  <c r="AS58" i="5"/>
  <c r="AJ18" i="25"/>
  <c r="AL14" i="25"/>
  <c r="R20" i="25"/>
  <c r="AE16" i="25"/>
  <c r="P16" i="27"/>
  <c r="P13" i="31"/>
  <c r="M16" i="25"/>
  <c r="X16" i="27"/>
  <c r="X13" i="31"/>
  <c r="U18" i="27"/>
  <c r="AN58" i="5"/>
  <c r="AB15" i="31"/>
  <c r="W18" i="27"/>
  <c r="AB14" i="25"/>
  <c r="N18" i="27"/>
  <c r="N15" i="31"/>
  <c r="I15" i="31"/>
  <c r="K18" i="25"/>
  <c r="Q14" i="27"/>
  <c r="Q11" i="31"/>
  <c r="AA18" i="25"/>
  <c r="V18" i="25"/>
  <c r="AT58" i="5"/>
  <c r="E19" i="25"/>
  <c r="C46" i="5"/>
  <c r="AF18" i="27"/>
  <c r="AF15" i="31"/>
  <c r="AC18" i="27"/>
  <c r="AC15" i="31"/>
  <c r="Q16" i="27"/>
  <c r="AC20" i="25"/>
  <c r="AB11" i="31"/>
  <c r="AB14" i="32"/>
  <c r="V16" i="27"/>
  <c r="V13" i="31"/>
  <c r="AL18" i="27"/>
  <c r="AL15" i="31"/>
  <c r="Z20" i="25"/>
  <c r="T20" i="25"/>
  <c r="AJ16" i="27"/>
  <c r="AJ16" i="32"/>
  <c r="E18" i="25"/>
  <c r="G18" i="27"/>
  <c r="G18" i="32"/>
  <c r="AI14" i="32"/>
  <c r="AF14" i="25"/>
  <c r="AK18" i="27"/>
  <c r="AK18" i="32"/>
  <c r="P14" i="27"/>
  <c r="P11" i="31"/>
  <c r="Z16" i="27"/>
  <c r="Z13" i="31"/>
  <c r="AH11" i="31"/>
  <c r="D18" i="25"/>
  <c r="Y17" i="31"/>
  <c r="M13" i="31"/>
  <c r="F18" i="32"/>
  <c r="AG16" i="27"/>
  <c r="AD16" i="27"/>
  <c r="AD13" i="31"/>
  <c r="O16" i="25"/>
  <c r="W16" i="25"/>
  <c r="AG17" i="31"/>
  <c r="F19" i="25"/>
  <c r="AI14" i="25"/>
  <c r="T18" i="25"/>
  <c r="S16" i="32"/>
  <c r="S13" i="31"/>
  <c r="T14" i="32"/>
  <c r="T11" i="31"/>
  <c r="AL11" i="31"/>
  <c r="AL14" i="32"/>
  <c r="U14" i="32"/>
  <c r="U11" i="31"/>
  <c r="AF16" i="27"/>
  <c r="AF16" i="32"/>
  <c r="AF16" i="25"/>
  <c r="AE14" i="27"/>
  <c r="AE14" i="25"/>
  <c r="S16" i="25"/>
  <c r="R18" i="25"/>
  <c r="R18" i="27"/>
  <c r="L18" i="25"/>
  <c r="L18" i="27"/>
  <c r="X14" i="27"/>
  <c r="X14" i="25"/>
  <c r="AF18" i="32"/>
  <c r="Y16" i="27"/>
  <c r="Y16" i="25"/>
  <c r="AA14" i="27"/>
  <c r="AA14" i="25"/>
  <c r="T18" i="32"/>
  <c r="F16" i="27"/>
  <c r="F16" i="25"/>
  <c r="Y18" i="25"/>
  <c r="Y18" i="27"/>
  <c r="AJ14" i="27"/>
  <c r="AJ14" i="25"/>
  <c r="AG14" i="27"/>
  <c r="AG14" i="25"/>
  <c r="AP58" i="5"/>
  <c r="AR58" i="5"/>
  <c r="AO58" i="5"/>
  <c r="I16" i="27"/>
  <c r="I13" i="31"/>
  <c r="G20" i="25"/>
  <c r="AH17" i="31"/>
  <c r="AE20" i="25"/>
  <c r="AF11" i="31"/>
  <c r="AK20" i="25"/>
  <c r="S14" i="27"/>
  <c r="S14" i="32"/>
  <c r="D16" i="25"/>
  <c r="R14" i="32"/>
  <c r="U16" i="27"/>
  <c r="U16" i="32"/>
  <c r="Q18" i="27"/>
  <c r="Q18" i="32"/>
  <c r="AK16" i="25"/>
  <c r="W14" i="27"/>
  <c r="O20" i="25"/>
  <c r="AE18" i="25"/>
  <c r="AD18" i="27"/>
  <c r="AD15" i="31"/>
  <c r="AK16" i="32"/>
  <c r="AK13" i="31"/>
  <c r="D16" i="32"/>
  <c r="D13" i="31"/>
  <c r="AJ15" i="31"/>
  <c r="AJ18" i="32"/>
  <c r="AI16" i="32"/>
  <c r="AI13" i="31"/>
  <c r="Q20" i="25"/>
  <c r="AA20" i="25"/>
  <c r="S17" i="31"/>
  <c r="H18" i="27"/>
  <c r="D19" i="27"/>
  <c r="D16" i="31"/>
  <c r="L20" i="25"/>
  <c r="AA16" i="27"/>
  <c r="L13" i="31"/>
  <c r="J18" i="27"/>
  <c r="V20" i="25"/>
  <c r="AI16" i="25"/>
  <c r="AB18" i="25"/>
  <c r="K18" i="32"/>
  <c r="E18" i="32"/>
  <c r="AI18" i="27"/>
  <c r="AI18" i="32"/>
  <c r="D15" i="31"/>
  <c r="N17" i="31"/>
  <c r="AD17" i="31"/>
  <c r="H16" i="25"/>
  <c r="AK14" i="27"/>
  <c r="O14" i="27"/>
  <c r="O14" i="25"/>
  <c r="I15" i="40"/>
  <c r="G16" i="40"/>
  <c r="E16" i="40" s="1"/>
  <c r="G11" i="40"/>
  <c r="E11" i="40" s="1"/>
  <c r="R11" i="40" s="1"/>
  <c r="G33" i="40"/>
  <c r="E33" i="40" s="1"/>
  <c r="R33" i="40" s="1"/>
  <c r="G41" i="40"/>
  <c r="E41" i="40" s="1"/>
  <c r="G20" i="40"/>
  <c r="E20" i="40" s="1"/>
  <c r="G28" i="40"/>
  <c r="E28" i="40" s="1"/>
  <c r="I27" i="40"/>
  <c r="G31" i="40"/>
  <c r="E31" i="40" s="1"/>
  <c r="K14" i="40"/>
  <c r="I14" i="40"/>
  <c r="R14" i="40" s="1"/>
  <c r="I16" i="40"/>
  <c r="K11" i="40"/>
  <c r="G18" i="40"/>
  <c r="E18" i="40" s="1"/>
  <c r="G15" i="40"/>
  <c r="E15" i="40" s="1"/>
  <c r="I28" i="40"/>
  <c r="I20" i="40"/>
  <c r="I24" i="40"/>
  <c r="G13" i="40"/>
  <c r="E13" i="40"/>
  <c r="G23" i="40"/>
  <c r="E23" i="40" s="1"/>
  <c r="I23" i="40"/>
  <c r="G39" i="40"/>
  <c r="E39" i="40" s="1"/>
  <c r="I39" i="40"/>
  <c r="Q62" i="45"/>
  <c r="N62" i="45"/>
  <c r="I35" i="40"/>
  <c r="G35" i="40"/>
  <c r="E35" i="40" s="1"/>
  <c r="I25" i="40"/>
  <c r="G32" i="40"/>
  <c r="E32" i="40" s="1"/>
  <c r="I32" i="40"/>
  <c r="I22" i="40"/>
  <c r="I10" i="40"/>
  <c r="R10" i="40" s="1"/>
  <c r="G27" i="40"/>
  <c r="E27" i="40" s="1"/>
  <c r="I40" i="40"/>
  <c r="G40" i="40"/>
  <c r="E40" i="40" s="1"/>
  <c r="C42" i="29"/>
  <c r="C56" i="29"/>
  <c r="C60" i="29"/>
  <c r="C34" i="29"/>
  <c r="C45" i="29"/>
  <c r="C44" i="29"/>
  <c r="C54" i="29"/>
  <c r="C47" i="29"/>
  <c r="C52" i="29"/>
  <c r="C53" i="29"/>
  <c r="C32" i="29"/>
  <c r="C55" i="29"/>
  <c r="C49" i="29"/>
  <c r="C62" i="29"/>
  <c r="C57" i="29"/>
  <c r="C59" i="29"/>
  <c r="C61" i="29"/>
  <c r="C28" i="29"/>
  <c r="C58" i="29"/>
  <c r="C37" i="29"/>
  <c r="C40" i="29"/>
  <c r="C46" i="29"/>
  <c r="C38" i="29"/>
  <c r="C35" i="29"/>
  <c r="C39" i="29"/>
  <c r="C33" i="29"/>
  <c r="C43" i="29"/>
  <c r="C29" i="29"/>
  <c r="C50" i="29"/>
  <c r="C30" i="29"/>
  <c r="C36" i="29"/>
  <c r="C41" i="29"/>
  <c r="C31" i="29"/>
  <c r="D26" i="32"/>
  <c r="D24" i="31"/>
  <c r="V14" i="32"/>
  <c r="V11" i="31"/>
  <c r="P8" i="40"/>
  <c r="C48" i="29"/>
  <c r="O16" i="32"/>
  <c r="O13" i="31"/>
  <c r="D17" i="28"/>
  <c r="X18" i="27"/>
  <c r="X18" i="25"/>
  <c r="AL13" i="31"/>
  <c r="AL16" i="32"/>
  <c r="AH16" i="25"/>
  <c r="AH16" i="27"/>
  <c r="AB16" i="25"/>
  <c r="AB16" i="27"/>
  <c r="Q23" i="22"/>
  <c r="Q12" i="22"/>
  <c r="R13" i="22"/>
  <c r="Q19" i="22"/>
  <c r="Q17" i="22"/>
  <c r="Q9" i="22"/>
  <c r="Q18" i="22"/>
  <c r="R19" i="22"/>
  <c r="Q38" i="22"/>
  <c r="Q33" i="22"/>
  <c r="Q25" i="22"/>
  <c r="Q40" i="22"/>
  <c r="Q30" i="22"/>
  <c r="Q28" i="22"/>
  <c r="Q27" i="22"/>
  <c r="Q8" i="22"/>
  <c r="R9" i="22"/>
  <c r="Q11" i="22"/>
  <c r="Q20" i="22"/>
  <c r="Q36" i="22"/>
  <c r="Q29" i="22"/>
  <c r="R30" i="22"/>
  <c r="Q35" i="22"/>
  <c r="Q37" i="22"/>
  <c r="R38" i="22"/>
  <c r="Q31" i="22"/>
  <c r="Q32" i="22"/>
  <c r="Q21" i="22"/>
  <c r="Q39" i="22"/>
  <c r="Q34" i="22"/>
  <c r="R35" i="22"/>
  <c r="Q10" i="22"/>
  <c r="R11" i="22"/>
  <c r="Q22" i="22"/>
  <c r="Q13" i="22"/>
  <c r="R14" i="22"/>
  <c r="Q7" i="22"/>
  <c r="Q16" i="22"/>
  <c r="Q15" i="22"/>
  <c r="Q26" i="22"/>
  <c r="AC14" i="27"/>
  <c r="AC14" i="25"/>
  <c r="V14" i="25"/>
  <c r="U54" i="40"/>
  <c r="X54" i="40"/>
  <c r="W54" i="40"/>
  <c r="U59" i="40"/>
  <c r="X59" i="40"/>
  <c r="W59" i="40"/>
  <c r="W64" i="40"/>
  <c r="U64" i="40"/>
  <c r="X64" i="40"/>
  <c r="W79" i="40"/>
  <c r="U79" i="40"/>
  <c r="X79" i="40"/>
  <c r="W89" i="40"/>
  <c r="W88" i="40"/>
  <c r="X88" i="40"/>
  <c r="AA15" i="31"/>
  <c r="AA18" i="32"/>
  <c r="Q24" i="22"/>
  <c r="E19" i="32"/>
  <c r="E16" i="31"/>
  <c r="AE16" i="32"/>
  <c r="AE13" i="31"/>
  <c r="P7" i="40"/>
  <c r="K16" i="25"/>
  <c r="K16" i="27"/>
  <c r="G16" i="25"/>
  <c r="G16" i="27"/>
  <c r="C24" i="5"/>
  <c r="S7" i="24"/>
  <c r="S10" i="32"/>
  <c r="E20" i="32"/>
  <c r="E18" i="31"/>
  <c r="C18" i="31"/>
  <c r="C20" i="27"/>
  <c r="AB18" i="31"/>
  <c r="AB20" i="32"/>
  <c r="Z15" i="31"/>
  <c r="Z18" i="32"/>
  <c r="K18" i="31"/>
  <c r="AE18" i="32"/>
  <c r="AE15" i="31"/>
  <c r="R16" i="25"/>
  <c r="R16" i="27"/>
  <c r="E41" i="22"/>
  <c r="AG18" i="27"/>
  <c r="AG18" i="25"/>
  <c r="T16" i="25"/>
  <c r="T16" i="27"/>
  <c r="X20" i="25"/>
  <c r="X17" i="31"/>
  <c r="AL20" i="25"/>
  <c r="AL17" i="31"/>
  <c r="G26" i="32"/>
  <c r="G24" i="31"/>
  <c r="L24" i="31"/>
  <c r="L26" i="32"/>
  <c r="P6" i="29"/>
  <c r="D28" i="29" a="1"/>
  <c r="D33" i="28"/>
  <c r="AA26" i="32"/>
  <c r="AA24" i="31"/>
  <c r="AL26" i="32"/>
  <c r="AL24" i="31"/>
  <c r="C38" i="5"/>
  <c r="AH15" i="31"/>
  <c r="AC16" i="27"/>
  <c r="W13" i="31"/>
  <c r="J16" i="25"/>
  <c r="N16" i="32"/>
  <c r="P15" i="31"/>
  <c r="P16" i="32"/>
  <c r="Z16" i="32"/>
  <c r="Y14" i="32"/>
  <c r="AD16" i="32"/>
  <c r="U13" i="31"/>
  <c r="AD11" i="31"/>
  <c r="Z11" i="31"/>
  <c r="S11" i="31"/>
  <c r="I47" i="33"/>
  <c r="N47" i="33"/>
  <c r="F47" i="33"/>
  <c r="R8" i="22"/>
  <c r="R7" i="22"/>
  <c r="M47" i="33"/>
  <c r="L47" i="33"/>
  <c r="H47" i="33"/>
  <c r="G47" i="33"/>
  <c r="J47" i="33"/>
  <c r="C20" i="32"/>
  <c r="R25" i="22"/>
  <c r="R27" i="22"/>
  <c r="R40" i="22"/>
  <c r="R21" i="22"/>
  <c r="R29" i="22"/>
  <c r="R34" i="22"/>
  <c r="R18" i="22"/>
  <c r="Q14" i="32"/>
  <c r="R88" i="33"/>
  <c r="N88" i="33"/>
  <c r="R128" i="33"/>
  <c r="G128" i="33"/>
  <c r="R48" i="33"/>
  <c r="I48" i="33"/>
  <c r="R168" i="33"/>
  <c r="C168" i="33"/>
  <c r="K88" i="33"/>
  <c r="C47" i="33"/>
  <c r="E47" i="33"/>
  <c r="F88" i="33"/>
  <c r="K47" i="33"/>
  <c r="J168" i="33"/>
  <c r="R16" i="22"/>
  <c r="R23" i="22"/>
  <c r="R36" i="22"/>
  <c r="AC18" i="32"/>
  <c r="S15" i="31"/>
  <c r="D47" i="33"/>
  <c r="G168" i="33"/>
  <c r="R167" i="33"/>
  <c r="R87" i="33"/>
  <c r="R127" i="33"/>
  <c r="X16" i="32"/>
  <c r="G15" i="31"/>
  <c r="P14" i="32"/>
  <c r="AF13" i="31"/>
  <c r="AI15" i="31"/>
  <c r="Q16" i="32"/>
  <c r="Q13" i="31"/>
  <c r="Q15" i="31"/>
  <c r="N18" i="32"/>
  <c r="U15" i="31"/>
  <c r="U18" i="32"/>
  <c r="W18" i="32"/>
  <c r="W15" i="31"/>
  <c r="AG13" i="31"/>
  <c r="AG16" i="32"/>
  <c r="AL18" i="32"/>
  <c r="AJ13" i="31"/>
  <c r="AK15" i="31"/>
  <c r="D19" i="32"/>
  <c r="V16" i="32"/>
  <c r="W14" i="32"/>
  <c r="W11" i="31"/>
  <c r="AJ11" i="31"/>
  <c r="AJ14" i="32"/>
  <c r="F13" i="31"/>
  <c r="F16" i="32"/>
  <c r="Y13" i="31"/>
  <c r="Y16" i="32"/>
  <c r="X11" i="31"/>
  <c r="X14" i="32"/>
  <c r="C17" i="31"/>
  <c r="Y15" i="31"/>
  <c r="Y18" i="32"/>
  <c r="L15" i="31"/>
  <c r="L18" i="32"/>
  <c r="AE11" i="31"/>
  <c r="AE14" i="32"/>
  <c r="C20" i="25"/>
  <c r="I16" i="32"/>
  <c r="AG11" i="31"/>
  <c r="AG14" i="32"/>
  <c r="AA11" i="31"/>
  <c r="AA14" i="32"/>
  <c r="AD18" i="32"/>
  <c r="R18" i="32"/>
  <c r="R15" i="31"/>
  <c r="H18" i="32"/>
  <c r="H15" i="31"/>
  <c r="J15" i="31"/>
  <c r="J18" i="32"/>
  <c r="AA13" i="31"/>
  <c r="AA16" i="32"/>
  <c r="AK11" i="31"/>
  <c r="AK14" i="32"/>
  <c r="O14" i="32"/>
  <c r="O11" i="31"/>
  <c r="AB16" i="32"/>
  <c r="AB13" i="31"/>
  <c r="D54" i="29"/>
  <c r="D33" i="29"/>
  <c r="D48" i="29"/>
  <c r="D38" i="29"/>
  <c r="D43" i="29"/>
  <c r="D57" i="29"/>
  <c r="D30" i="29"/>
  <c r="D55" i="29"/>
  <c r="D49" i="29"/>
  <c r="D28" i="29"/>
  <c r="D35" i="29"/>
  <c r="D61" i="29"/>
  <c r="D47" i="29"/>
  <c r="D52" i="29"/>
  <c r="D37" i="29"/>
  <c r="D60" i="29"/>
  <c r="D36" i="29"/>
  <c r="D34" i="29"/>
  <c r="D46" i="29"/>
  <c r="D62" i="29"/>
  <c r="AM62" i="29"/>
  <c r="AN62" i="29"/>
  <c r="AO62" i="29"/>
  <c r="D45" i="29"/>
  <c r="D31" i="29"/>
  <c r="D42" i="29"/>
  <c r="D39" i="29"/>
  <c r="D41" i="29"/>
  <c r="D50" i="29"/>
  <c r="D44" i="29"/>
  <c r="D32" i="29"/>
  <c r="D53" i="29"/>
  <c r="D59" i="29"/>
  <c r="D58" i="29"/>
  <c r="D56" i="29"/>
  <c r="D51" i="29"/>
  <c r="D40" i="29"/>
  <c r="D29" i="29"/>
  <c r="O26" i="32"/>
  <c r="O24" i="31"/>
  <c r="C24" i="31"/>
  <c r="AG18" i="32"/>
  <c r="AG15" i="31"/>
  <c r="R13" i="31"/>
  <c r="R16" i="32"/>
  <c r="R17" i="22"/>
  <c r="R22" i="22"/>
  <c r="R12" i="22"/>
  <c r="R31" i="22"/>
  <c r="R39" i="22"/>
  <c r="R20" i="22"/>
  <c r="R15" i="22"/>
  <c r="C26" i="32"/>
  <c r="Q41" i="22"/>
  <c r="R41" i="22"/>
  <c r="K13" i="31"/>
  <c r="K16" i="32"/>
  <c r="AC13" i="31"/>
  <c r="AC16" i="32"/>
  <c r="T16" i="32"/>
  <c r="T13" i="31"/>
  <c r="C16" i="27"/>
  <c r="G13" i="31"/>
  <c r="G16" i="32"/>
  <c r="AC14" i="32"/>
  <c r="AC11" i="31"/>
  <c r="R33" i="22"/>
  <c r="AH13" i="31"/>
  <c r="AH16" i="32"/>
  <c r="C18" i="25"/>
  <c r="D6" i="29"/>
  <c r="C16" i="25"/>
  <c r="R32" i="22"/>
  <c r="R37" i="22"/>
  <c r="R28" i="22"/>
  <c r="R26" i="22"/>
  <c r="R10" i="22"/>
  <c r="D64" i="5" a="1"/>
  <c r="R24" i="22"/>
  <c r="X15" i="31"/>
  <c r="X18" i="32"/>
  <c r="C18" i="27"/>
  <c r="K48" i="33"/>
  <c r="L128" i="33"/>
  <c r="C88" i="33"/>
  <c r="M88" i="33"/>
  <c r="G88" i="33"/>
  <c r="F168" i="33"/>
  <c r="E168" i="33"/>
  <c r="H168" i="33"/>
  <c r="M168" i="33"/>
  <c r="N168" i="33"/>
  <c r="L168" i="33"/>
  <c r="I168" i="33"/>
  <c r="E88" i="33"/>
  <c r="K168" i="33"/>
  <c r="D168" i="33"/>
  <c r="H88" i="33"/>
  <c r="L88" i="33"/>
  <c r="L48" i="33"/>
  <c r="D48" i="33"/>
  <c r="E48" i="33"/>
  <c r="E128" i="33"/>
  <c r="D128" i="33"/>
  <c r="J128" i="33"/>
  <c r="M128" i="33"/>
  <c r="C48" i="33"/>
  <c r="F128" i="33"/>
  <c r="I128" i="33"/>
  <c r="J88" i="33"/>
  <c r="G48" i="33"/>
  <c r="I88" i="33"/>
  <c r="F48" i="33"/>
  <c r="N128" i="33"/>
  <c r="O47" i="33"/>
  <c r="J48" i="33"/>
  <c r="K128" i="33"/>
  <c r="H128" i="33"/>
  <c r="C128" i="33"/>
  <c r="D88" i="33"/>
  <c r="H48" i="33"/>
  <c r="M48" i="33"/>
  <c r="N48" i="33"/>
  <c r="N167" i="33"/>
  <c r="F167" i="33"/>
  <c r="I167" i="33"/>
  <c r="H167" i="33"/>
  <c r="G167" i="33"/>
  <c r="J167" i="33"/>
  <c r="M167" i="33"/>
  <c r="K167" i="33"/>
  <c r="E167" i="33"/>
  <c r="D167" i="33"/>
  <c r="L167" i="33"/>
  <c r="C167" i="33"/>
  <c r="L127" i="33"/>
  <c r="N127" i="33"/>
  <c r="G127" i="33"/>
  <c r="H127" i="33"/>
  <c r="F127" i="33"/>
  <c r="J127" i="33"/>
  <c r="E127" i="33"/>
  <c r="K127" i="33"/>
  <c r="C127" i="33"/>
  <c r="M127" i="33"/>
  <c r="D127" i="33"/>
  <c r="I127" i="33"/>
  <c r="L87" i="33"/>
  <c r="D87" i="33"/>
  <c r="F87" i="33"/>
  <c r="E87" i="33"/>
  <c r="I87" i="33"/>
  <c r="J87" i="33"/>
  <c r="M87" i="33"/>
  <c r="G87" i="33"/>
  <c r="H87" i="33"/>
  <c r="C87" i="33"/>
  <c r="K87" i="33"/>
  <c r="N87" i="33"/>
  <c r="C15" i="31"/>
  <c r="C18" i="32"/>
  <c r="C14" i="5"/>
  <c r="AB64" i="5"/>
  <c r="H64" i="5"/>
  <c r="Z64" i="5"/>
  <c r="F64" i="5"/>
  <c r="S64" i="5"/>
  <c r="AF64" i="5"/>
  <c r="AJ64" i="5"/>
  <c r="Q64" i="5"/>
  <c r="AH64" i="5"/>
  <c r="I64" i="5"/>
  <c r="T64" i="5"/>
  <c r="R64" i="5"/>
  <c r="AE64" i="5"/>
  <c r="P64" i="5"/>
  <c r="AI64" i="5"/>
  <c r="O64" i="5"/>
  <c r="AL64" i="5"/>
  <c r="E64" i="5"/>
  <c r="AK64" i="5"/>
  <c r="AC64" i="5"/>
  <c r="N64" i="5"/>
  <c r="AA64" i="5"/>
  <c r="V64" i="5"/>
  <c r="Y64" i="5"/>
  <c r="W64" i="5"/>
  <c r="J64" i="5"/>
  <c r="M64" i="5"/>
  <c r="L64" i="5"/>
  <c r="AD64" i="5"/>
  <c r="D64" i="5"/>
  <c r="D65" i="5"/>
  <c r="G64" i="5"/>
  <c r="U64" i="5"/>
  <c r="K64" i="5"/>
  <c r="X64" i="5"/>
  <c r="AG64" i="5"/>
  <c r="AI58" i="29"/>
  <c r="AJ58" i="29"/>
  <c r="AK58" i="29"/>
  <c r="AL58" i="29"/>
  <c r="AM58" i="29"/>
  <c r="T42" i="29"/>
  <c r="U42" i="29"/>
  <c r="V42" i="29"/>
  <c r="W42" i="29"/>
  <c r="X42" i="29"/>
  <c r="Y42" i="29"/>
  <c r="Z42" i="29"/>
  <c r="S42" i="29"/>
  <c r="AA42" i="29"/>
  <c r="O37" i="29"/>
  <c r="P37" i="29"/>
  <c r="Q37" i="29"/>
  <c r="R37" i="29"/>
  <c r="S37" i="29"/>
  <c r="T37" i="29"/>
  <c r="U37" i="29"/>
  <c r="V37" i="29"/>
  <c r="N37" i="29"/>
  <c r="G30" i="29"/>
  <c r="O30" i="29"/>
  <c r="H30" i="29"/>
  <c r="I30" i="29"/>
  <c r="J30" i="29"/>
  <c r="K30" i="29"/>
  <c r="L30" i="29"/>
  <c r="M30" i="29"/>
  <c r="N30" i="29"/>
  <c r="Y40" i="29"/>
  <c r="R40" i="29"/>
  <c r="S40" i="29"/>
  <c r="T40" i="29"/>
  <c r="U40" i="29"/>
  <c r="V40" i="29"/>
  <c r="W40" i="29"/>
  <c r="X40" i="29"/>
  <c r="Q40" i="29"/>
  <c r="AK59" i="29"/>
  <c r="AL59" i="29"/>
  <c r="AM59" i="29"/>
  <c r="AJ59" i="29"/>
  <c r="AB50" i="29"/>
  <c r="AC50" i="29"/>
  <c r="AD50" i="29"/>
  <c r="AE50" i="29"/>
  <c r="AF50" i="29"/>
  <c r="AG50" i="29"/>
  <c r="AH50" i="29"/>
  <c r="AA50" i="29"/>
  <c r="AI50" i="29"/>
  <c r="H31" i="29"/>
  <c r="I31" i="29"/>
  <c r="J31" i="29"/>
  <c r="K31" i="29"/>
  <c r="L31" i="29"/>
  <c r="M31" i="29"/>
  <c r="N31" i="29"/>
  <c r="O31" i="29"/>
  <c r="P31" i="29"/>
  <c r="S34" i="29"/>
  <c r="L34" i="29"/>
  <c r="M34" i="29"/>
  <c r="N34" i="29"/>
  <c r="O34" i="29"/>
  <c r="P34" i="29"/>
  <c r="Q34" i="29"/>
  <c r="R34" i="29"/>
  <c r="K34" i="29"/>
  <c r="AC52" i="29"/>
  <c r="AK52" i="29"/>
  <c r="AD52" i="29"/>
  <c r="AE52" i="29"/>
  <c r="AF52" i="29"/>
  <c r="AG52" i="29"/>
  <c r="AH52" i="29"/>
  <c r="AI52" i="29"/>
  <c r="AJ52" i="29"/>
  <c r="F28" i="29"/>
  <c r="E28" i="29"/>
  <c r="M28" i="29"/>
  <c r="D63" i="29"/>
  <c r="AI57" i="29"/>
  <c r="AJ57" i="29"/>
  <c r="AK57" i="29"/>
  <c r="AL57" i="29"/>
  <c r="AM57" i="29"/>
  <c r="AH57" i="29"/>
  <c r="R33" i="29"/>
  <c r="K33" i="29"/>
  <c r="L33" i="29"/>
  <c r="M33" i="29"/>
  <c r="N33" i="29"/>
  <c r="O33" i="29"/>
  <c r="P33" i="29"/>
  <c r="Q33" i="29"/>
  <c r="J33" i="29"/>
  <c r="C16" i="32"/>
  <c r="AC51" i="29"/>
  <c r="AD51" i="29"/>
  <c r="AE51" i="29"/>
  <c r="AF51" i="29"/>
  <c r="AG51" i="29"/>
  <c r="AH51" i="29"/>
  <c r="AI51" i="29"/>
  <c r="AJ51" i="29"/>
  <c r="AB51" i="29"/>
  <c r="AD53" i="29"/>
  <c r="AL53" i="29"/>
  <c r="AE53" i="29"/>
  <c r="AF53" i="29"/>
  <c r="AG53" i="29"/>
  <c r="AH53" i="29"/>
  <c r="AI53" i="29"/>
  <c r="AJ53" i="29"/>
  <c r="AK53" i="29"/>
  <c r="R41" i="29"/>
  <c r="S41" i="29"/>
  <c r="T41" i="29"/>
  <c r="U41" i="29"/>
  <c r="V41" i="29"/>
  <c r="W41" i="29"/>
  <c r="X41" i="29"/>
  <c r="Y41" i="29"/>
  <c r="Z41" i="29"/>
  <c r="W45" i="29"/>
  <c r="X45" i="29"/>
  <c r="Y45" i="29"/>
  <c r="Z45" i="29"/>
  <c r="AA45" i="29"/>
  <c r="AB45" i="29"/>
  <c r="AC45" i="29"/>
  <c r="V45" i="29"/>
  <c r="AD45" i="29"/>
  <c r="N36" i="29"/>
  <c r="O36" i="29"/>
  <c r="P36" i="29"/>
  <c r="Q36" i="29"/>
  <c r="R36" i="29"/>
  <c r="S36" i="29"/>
  <c r="T36" i="29"/>
  <c r="U36" i="29"/>
  <c r="M36" i="29"/>
  <c r="AF47" i="29"/>
  <c r="X47" i="29"/>
  <c r="Y47" i="29"/>
  <c r="Z47" i="29"/>
  <c r="AA47" i="29"/>
  <c r="AB47" i="29"/>
  <c r="AC47" i="29"/>
  <c r="AD47" i="29"/>
  <c r="AE47" i="29"/>
  <c r="AH49" i="29"/>
  <c r="AA49" i="29"/>
  <c r="AB49" i="29"/>
  <c r="AC49" i="29"/>
  <c r="AD49" i="29"/>
  <c r="AE49" i="29"/>
  <c r="AF49" i="29"/>
  <c r="AG49" i="29"/>
  <c r="Z49" i="29"/>
  <c r="U43" i="29"/>
  <c r="V43" i="29"/>
  <c r="W43" i="29"/>
  <c r="X43" i="29"/>
  <c r="Y43" i="29"/>
  <c r="Z43" i="29"/>
  <c r="AA43" i="29"/>
  <c r="AB43" i="29"/>
  <c r="T43" i="29"/>
  <c r="AE54" i="29"/>
  <c r="AM54" i="29"/>
  <c r="AF54" i="29"/>
  <c r="AG54" i="29"/>
  <c r="AH54" i="29"/>
  <c r="AI54" i="29"/>
  <c r="AJ54" i="29"/>
  <c r="AK54" i="29"/>
  <c r="AL54" i="29"/>
  <c r="F29" i="29"/>
  <c r="N29" i="29"/>
  <c r="G29" i="29"/>
  <c r="H29" i="29"/>
  <c r="I29" i="29"/>
  <c r="J29" i="29"/>
  <c r="K29" i="29"/>
  <c r="L29" i="29"/>
  <c r="M29" i="29"/>
  <c r="V44" i="29"/>
  <c r="W44" i="29"/>
  <c r="X44" i="29"/>
  <c r="Y44" i="29"/>
  <c r="Z44" i="29"/>
  <c r="AA44" i="29"/>
  <c r="AB44" i="29"/>
  <c r="AC44" i="29"/>
  <c r="U44" i="29"/>
  <c r="W46" i="29"/>
  <c r="AE46" i="29"/>
  <c r="X46" i="29"/>
  <c r="Y46" i="29"/>
  <c r="Z46" i="29"/>
  <c r="AA46" i="29"/>
  <c r="AB46" i="29"/>
  <c r="AC46" i="29"/>
  <c r="AD46" i="29"/>
  <c r="T35" i="29"/>
  <c r="L35" i="29"/>
  <c r="M35" i="29"/>
  <c r="N35" i="29"/>
  <c r="O35" i="29"/>
  <c r="P35" i="29"/>
  <c r="Q35" i="29"/>
  <c r="R35" i="29"/>
  <c r="S35" i="29"/>
  <c r="Y48" i="29"/>
  <c r="AG48" i="29"/>
  <c r="Z48" i="29"/>
  <c r="AA48" i="29"/>
  <c r="AB48" i="29"/>
  <c r="AC48" i="29"/>
  <c r="AD48" i="29"/>
  <c r="AE48" i="29"/>
  <c r="AF48" i="29"/>
  <c r="C13" i="31"/>
  <c r="AH56" i="29"/>
  <c r="AI56" i="29"/>
  <c r="AJ56" i="29"/>
  <c r="AK56" i="29"/>
  <c r="AL56" i="29"/>
  <c r="AM56" i="29"/>
  <c r="AG56" i="29"/>
  <c r="Q32" i="29"/>
  <c r="J32" i="29"/>
  <c r="K32" i="29"/>
  <c r="L32" i="29"/>
  <c r="M32" i="29"/>
  <c r="N32" i="29"/>
  <c r="O32" i="29"/>
  <c r="P32" i="29"/>
  <c r="I32" i="29"/>
  <c r="X39" i="29"/>
  <c r="Q39" i="29"/>
  <c r="R39" i="29"/>
  <c r="S39" i="29"/>
  <c r="T39" i="29"/>
  <c r="U39" i="29"/>
  <c r="V39" i="29"/>
  <c r="W39" i="29"/>
  <c r="P39" i="29"/>
  <c r="AL60" i="29"/>
  <c r="AM60" i="29"/>
  <c r="AK60" i="29"/>
  <c r="AL61" i="29"/>
  <c r="AM61" i="29"/>
  <c r="AF55" i="29"/>
  <c r="AG55" i="29"/>
  <c r="AH55" i="29"/>
  <c r="AI55" i="29"/>
  <c r="AJ55" i="29"/>
  <c r="AK55" i="29"/>
  <c r="AL55" i="29"/>
  <c r="AM55" i="29"/>
  <c r="P38" i="29"/>
  <c r="Q38" i="29"/>
  <c r="R38" i="29"/>
  <c r="S38" i="29"/>
  <c r="T38" i="29"/>
  <c r="U38" i="29"/>
  <c r="V38" i="29"/>
  <c r="O38" i="29"/>
  <c r="W38" i="29"/>
  <c r="O168" i="33"/>
  <c r="O88" i="33"/>
  <c r="AN36" i="29"/>
  <c r="AO36" i="29"/>
  <c r="AN51" i="29"/>
  <c r="AO51" i="29"/>
  <c r="AN57" i="29"/>
  <c r="AO57" i="29"/>
  <c r="AN45" i="29"/>
  <c r="AO45" i="29"/>
  <c r="AN41" i="29"/>
  <c r="AO41" i="29"/>
  <c r="AN50" i="29"/>
  <c r="AO50" i="29"/>
  <c r="O167" i="33"/>
  <c r="AN47" i="29"/>
  <c r="AO47" i="29"/>
  <c r="AN59" i="29"/>
  <c r="AO59" i="29"/>
  <c r="O128" i="33"/>
  <c r="AN38" i="29"/>
  <c r="AO38" i="29"/>
  <c r="AE63" i="29"/>
  <c r="AE14" i="29"/>
  <c r="AN58" i="29"/>
  <c r="AO58" i="29"/>
  <c r="AN31" i="29"/>
  <c r="AO31" i="29"/>
  <c r="AN60" i="29"/>
  <c r="AO60" i="29"/>
  <c r="X63" i="29"/>
  <c r="X14" i="29"/>
  <c r="AN56" i="29"/>
  <c r="AO56" i="29"/>
  <c r="O87" i="33"/>
  <c r="O127" i="33"/>
  <c r="AB63" i="29"/>
  <c r="AB14" i="29"/>
  <c r="Y63" i="29"/>
  <c r="Y14" i="29"/>
  <c r="V63" i="29"/>
  <c r="V14" i="29"/>
  <c r="E65" i="5"/>
  <c r="F65" i="5"/>
  <c r="G65" i="5"/>
  <c r="H65" i="5"/>
  <c r="I65" i="5"/>
  <c r="J65" i="5"/>
  <c r="K65" i="5"/>
  <c r="L65" i="5"/>
  <c r="M65" i="5"/>
  <c r="N65" i="5"/>
  <c r="O65" i="5"/>
  <c r="P65" i="5"/>
  <c r="Q65" i="5"/>
  <c r="R65" i="5"/>
  <c r="S65" i="5"/>
  <c r="T65" i="5"/>
  <c r="U65" i="5"/>
  <c r="V65" i="5"/>
  <c r="W65" i="5"/>
  <c r="X65" i="5"/>
  <c r="Y65" i="5"/>
  <c r="Z65" i="5"/>
  <c r="AA65" i="5"/>
  <c r="AB65" i="5"/>
  <c r="AC65" i="5"/>
  <c r="AD65" i="5"/>
  <c r="AE65" i="5"/>
  <c r="AF65" i="5"/>
  <c r="AG65" i="5"/>
  <c r="AH65" i="5"/>
  <c r="AI65" i="5"/>
  <c r="AJ65" i="5"/>
  <c r="AK65" i="5"/>
  <c r="AL65" i="5"/>
  <c r="W63" i="29"/>
  <c r="W14" i="29"/>
  <c r="AN55" i="29"/>
  <c r="AO55" i="29"/>
  <c r="AN32" i="29"/>
  <c r="AO32" i="29"/>
  <c r="AN35" i="29"/>
  <c r="AO35" i="29"/>
  <c r="AN46" i="29"/>
  <c r="AO46" i="29"/>
  <c r="AM63" i="29"/>
  <c r="AM14" i="29"/>
  <c r="U63" i="29"/>
  <c r="U14" i="29"/>
  <c r="AJ63" i="29"/>
  <c r="AJ14" i="29"/>
  <c r="R63" i="29"/>
  <c r="R14" i="29"/>
  <c r="M63" i="29"/>
  <c r="M14" i="29"/>
  <c r="AK63" i="29"/>
  <c r="AK14" i="29"/>
  <c r="S63" i="29"/>
  <c r="S14" i="29"/>
  <c r="AI63" i="29"/>
  <c r="AI14" i="29"/>
  <c r="O63" i="29"/>
  <c r="O14" i="29"/>
  <c r="AH63" i="29"/>
  <c r="AH14" i="29"/>
  <c r="AN39" i="29"/>
  <c r="AO39" i="29"/>
  <c r="T63" i="29"/>
  <c r="T14" i="29"/>
  <c r="AN44" i="29"/>
  <c r="AO44" i="29"/>
  <c r="AN54" i="29"/>
  <c r="AO54" i="29"/>
  <c r="AN49" i="29"/>
  <c r="AO49" i="29"/>
  <c r="Z63" i="29"/>
  <c r="Z14" i="29"/>
  <c r="AL63" i="29"/>
  <c r="AL14" i="29"/>
  <c r="E63" i="29"/>
  <c r="E14" i="29"/>
  <c r="AN52" i="29"/>
  <c r="AO52" i="29"/>
  <c r="P63" i="29"/>
  <c r="P14" i="29"/>
  <c r="AN40" i="29"/>
  <c r="AO40" i="29"/>
  <c r="AN30" i="29"/>
  <c r="AO30" i="29"/>
  <c r="AA63" i="29"/>
  <c r="AA14" i="29"/>
  <c r="AG63" i="29"/>
  <c r="AG14" i="29"/>
  <c r="N63" i="29"/>
  <c r="N14" i="29"/>
  <c r="AN61" i="29"/>
  <c r="AO61" i="29"/>
  <c r="Q63" i="29"/>
  <c r="Q14" i="29"/>
  <c r="AN48" i="29"/>
  <c r="AO48" i="29"/>
  <c r="AC63" i="29"/>
  <c r="AC14" i="29"/>
  <c r="AN29" i="29"/>
  <c r="AO29" i="29"/>
  <c r="AN43" i="29"/>
  <c r="AO43" i="29"/>
  <c r="AF63" i="29"/>
  <c r="AF14" i="29"/>
  <c r="AD63" i="29"/>
  <c r="AD14" i="29"/>
  <c r="AN53" i="29"/>
  <c r="AO53" i="29"/>
  <c r="AN33" i="29"/>
  <c r="AO33" i="29"/>
  <c r="G28" i="29"/>
  <c r="F63" i="29"/>
  <c r="F14" i="29"/>
  <c r="AN34" i="29"/>
  <c r="AO34" i="29"/>
  <c r="AN37" i="29"/>
  <c r="AO37" i="29"/>
  <c r="AN42" i="29"/>
  <c r="AO42" i="29"/>
  <c r="G63" i="29"/>
  <c r="G14" i="29"/>
  <c r="H28" i="29"/>
  <c r="I28" i="29"/>
  <c r="H63" i="29"/>
  <c r="H14" i="29"/>
  <c r="J28" i="29"/>
  <c r="I63" i="29"/>
  <c r="I14" i="29"/>
  <c r="K28" i="29"/>
  <c r="J63" i="29"/>
  <c r="J14" i="29"/>
  <c r="L28" i="29"/>
  <c r="K63" i="29"/>
  <c r="K14" i="29"/>
  <c r="L63" i="29"/>
  <c r="L14" i="29"/>
  <c r="D14" i="29"/>
  <c r="AN28" i="29"/>
  <c r="AO28" i="29"/>
  <c r="AN63" i="29"/>
  <c r="C12" i="5"/>
  <c r="B6" i="61"/>
  <c r="BZ18" i="51" l="1"/>
  <c r="N284" i="64"/>
  <c r="N287" i="64"/>
  <c r="N291" i="64"/>
  <c r="N285" i="64"/>
  <c r="N289" i="64"/>
  <c r="N286" i="64"/>
  <c r="N290" i="64"/>
  <c r="N283" i="64"/>
  <c r="N288" i="64"/>
  <c r="G28" i="46"/>
  <c r="G29" i="46"/>
  <c r="H44" i="5" s="1"/>
  <c r="N56" i="64"/>
  <c r="N53" i="64"/>
  <c r="N54" i="64"/>
  <c r="N55" i="64"/>
  <c r="BQ9" i="51"/>
  <c r="BR9" i="51" s="1"/>
  <c r="N88" i="64"/>
  <c r="N79" i="64"/>
  <c r="N91" i="64"/>
  <c r="N84" i="64"/>
  <c r="N85" i="64"/>
  <c r="N92" i="64"/>
  <c r="N86" i="64"/>
  <c r="N87" i="64"/>
  <c r="N80" i="64"/>
  <c r="N89" i="64"/>
  <c r="N90" i="64"/>
  <c r="N81" i="64"/>
  <c r="N93" i="64"/>
  <c r="N83" i="64"/>
  <c r="N82" i="64"/>
  <c r="N94" i="64"/>
  <c r="N328" i="64"/>
  <c r="N331" i="64"/>
  <c r="N324" i="64"/>
  <c r="N326" i="64"/>
  <c r="N329" i="64"/>
  <c r="N327" i="64"/>
  <c r="N325" i="64"/>
  <c r="N330" i="64"/>
  <c r="N60" i="64"/>
  <c r="N57" i="64"/>
  <c r="N58" i="64"/>
  <c r="N59" i="64"/>
  <c r="BQ10" i="51"/>
  <c r="BR10" i="51" s="1"/>
  <c r="BT10" i="51" s="1"/>
  <c r="N110" i="64"/>
  <c r="N96" i="64"/>
  <c r="N104" i="64"/>
  <c r="N111" i="64"/>
  <c r="N97" i="64"/>
  <c r="N103" i="64"/>
  <c r="N107" i="64"/>
  <c r="N100" i="64"/>
  <c r="N102" i="64"/>
  <c r="N105" i="64"/>
  <c r="N99" i="64"/>
  <c r="N109" i="64"/>
  <c r="N108" i="64"/>
  <c r="N95" i="64"/>
  <c r="N106" i="64"/>
  <c r="N98" i="64"/>
  <c r="N101" i="64"/>
  <c r="N346" i="64"/>
  <c r="N344" i="64"/>
  <c r="N347" i="64"/>
  <c r="N336" i="64"/>
  <c r="N340" i="64"/>
  <c r="N348" i="64"/>
  <c r="N332" i="64"/>
  <c r="N335" i="64"/>
  <c r="N337" i="64"/>
  <c r="N342" i="64"/>
  <c r="N351" i="64"/>
  <c r="N345" i="64"/>
  <c r="N339" i="64"/>
  <c r="N333" i="64"/>
  <c r="N349" i="64"/>
  <c r="N343" i="64"/>
  <c r="N334" i="64"/>
  <c r="N338" i="64"/>
  <c r="N341" i="64"/>
  <c r="N350" i="64"/>
  <c r="N64" i="64"/>
  <c r="N61" i="64"/>
  <c r="N62" i="64"/>
  <c r="N63" i="64"/>
  <c r="CI14" i="51"/>
  <c r="N352" i="64"/>
  <c r="N356" i="64"/>
  <c r="N358" i="64"/>
  <c r="N353" i="64"/>
  <c r="N355" i="64"/>
  <c r="N359" i="64"/>
  <c r="N354" i="64"/>
  <c r="N357" i="64"/>
  <c r="N65" i="64"/>
  <c r="N68" i="64"/>
  <c r="N67" i="64"/>
  <c r="N66" i="64"/>
  <c r="BQ12" i="51"/>
  <c r="BR12" i="51" s="1"/>
  <c r="BT12" i="51" s="1"/>
  <c r="N114" i="64"/>
  <c r="N112" i="64"/>
  <c r="N119" i="64"/>
  <c r="N117" i="64"/>
  <c r="N116" i="64"/>
  <c r="N113" i="64"/>
  <c r="N118" i="64"/>
  <c r="N115" i="64"/>
  <c r="CI15" i="51"/>
  <c r="N360" i="64"/>
  <c r="N361" i="64"/>
  <c r="N72" i="64"/>
  <c r="N70" i="64"/>
  <c r="N73" i="64"/>
  <c r="N71" i="64"/>
  <c r="N69" i="64"/>
  <c r="BQ13" i="51"/>
  <c r="BR13" i="51" s="1"/>
  <c r="BT13" i="51" s="1"/>
  <c r="N133" i="64"/>
  <c r="N126" i="64"/>
  <c r="N130" i="64"/>
  <c r="N129" i="64"/>
  <c r="N123" i="64"/>
  <c r="N128" i="64"/>
  <c r="N132" i="64"/>
  <c r="N120" i="64"/>
  <c r="N134" i="64"/>
  <c r="N121" i="64"/>
  <c r="N122" i="64"/>
  <c r="N131" i="64"/>
  <c r="N124" i="64"/>
  <c r="N125" i="64"/>
  <c r="N127" i="64"/>
  <c r="N135" i="64"/>
  <c r="CI13" i="51"/>
  <c r="N366" i="64"/>
  <c r="N370" i="64"/>
  <c r="N373" i="64"/>
  <c r="N362" i="64"/>
  <c r="N363" i="64"/>
  <c r="N376" i="64"/>
  <c r="N368" i="64"/>
  <c r="N372" i="64"/>
  <c r="N369" i="64"/>
  <c r="N367" i="64"/>
  <c r="N374" i="64"/>
  <c r="N377" i="64"/>
  <c r="N371" i="64"/>
  <c r="N365" i="64"/>
  <c r="N375" i="64"/>
  <c r="N364" i="64"/>
  <c r="N75" i="64"/>
  <c r="N76" i="64"/>
  <c r="N77" i="64"/>
  <c r="N74" i="64"/>
  <c r="BQ14" i="51"/>
  <c r="BR14" i="51" s="1"/>
  <c r="BT14" i="51" s="1"/>
  <c r="N143" i="64"/>
  <c r="N149" i="64"/>
  <c r="N142" i="64"/>
  <c r="N146" i="64"/>
  <c r="N140" i="64"/>
  <c r="N138" i="64"/>
  <c r="N139" i="64"/>
  <c r="N144" i="64"/>
  <c r="N148" i="64"/>
  <c r="N145" i="64"/>
  <c r="N137" i="64"/>
  <c r="N151" i="64"/>
  <c r="N150" i="64"/>
  <c r="N147" i="64"/>
  <c r="N141" i="64"/>
  <c r="N136" i="64"/>
  <c r="N382" i="64"/>
  <c r="N386" i="64"/>
  <c r="N389" i="64"/>
  <c r="N378" i="64"/>
  <c r="N379" i="64"/>
  <c r="N395" i="64"/>
  <c r="N394" i="64"/>
  <c r="N380" i="64"/>
  <c r="N392" i="64"/>
  <c r="N384" i="64"/>
  <c r="N388" i="64"/>
  <c r="N383" i="64"/>
  <c r="N390" i="64"/>
  <c r="N393" i="64"/>
  <c r="N396" i="64"/>
  <c r="N385" i="64"/>
  <c r="N387" i="64"/>
  <c r="N381" i="64"/>
  <c r="N397" i="64"/>
  <c r="N391" i="64"/>
  <c r="BQ15" i="51"/>
  <c r="BR15" i="51" s="1"/>
  <c r="BT15" i="51" s="1"/>
  <c r="N152" i="64"/>
  <c r="N189" i="64"/>
  <c r="N188" i="64"/>
  <c r="N193" i="64"/>
  <c r="N190" i="64"/>
  <c r="N194" i="64"/>
  <c r="N186" i="64"/>
  <c r="N187" i="64"/>
  <c r="N192" i="64"/>
  <c r="N191" i="64"/>
  <c r="N398" i="64"/>
  <c r="N402" i="64"/>
  <c r="N405" i="64"/>
  <c r="N400" i="64"/>
  <c r="N404" i="64"/>
  <c r="N401" i="64"/>
  <c r="N399" i="64"/>
  <c r="N406" i="64"/>
  <c r="N403" i="64"/>
  <c r="N200" i="64"/>
  <c r="N199" i="64"/>
  <c r="N197" i="64"/>
  <c r="N202" i="64"/>
  <c r="N196" i="64"/>
  <c r="N198" i="64"/>
  <c r="N201" i="64"/>
  <c r="N195" i="64"/>
  <c r="CI19" i="51"/>
  <c r="N407" i="64"/>
  <c r="N414" i="64"/>
  <c r="N410" i="64"/>
  <c r="N408" i="64"/>
  <c r="N411" i="64"/>
  <c r="N412" i="64"/>
  <c r="N409" i="64"/>
  <c r="N413" i="64"/>
  <c r="N158" i="64"/>
  <c r="N154" i="64"/>
  <c r="N155" i="64"/>
  <c r="N159" i="64"/>
  <c r="N160" i="64"/>
  <c r="N156" i="64"/>
  <c r="N153" i="64"/>
  <c r="N157" i="64"/>
  <c r="CI20" i="51"/>
  <c r="N423" i="64"/>
  <c r="N418" i="64"/>
  <c r="N421" i="64"/>
  <c r="N416" i="64"/>
  <c r="N420" i="64"/>
  <c r="N417" i="64"/>
  <c r="N415" i="64"/>
  <c r="N422" i="64"/>
  <c r="N419" i="64"/>
  <c r="BZ11" i="51"/>
  <c r="CA11" i="51" s="1"/>
  <c r="CC11" i="51" s="1"/>
  <c r="N211" i="64"/>
  <c r="N205" i="64"/>
  <c r="N221" i="64"/>
  <c r="N225" i="64"/>
  <c r="N215" i="64"/>
  <c r="N206" i="64"/>
  <c r="N210" i="64"/>
  <c r="N213" i="64"/>
  <c r="N222" i="64"/>
  <c r="N226" i="64"/>
  <c r="N203" i="64"/>
  <c r="N218" i="64"/>
  <c r="N219" i="64"/>
  <c r="N204" i="64"/>
  <c r="N208" i="64"/>
  <c r="N209" i="64"/>
  <c r="N212" i="64"/>
  <c r="N224" i="64"/>
  <c r="N216" i="64"/>
  <c r="N207" i="64"/>
  <c r="N214" i="64"/>
  <c r="N223" i="64"/>
  <c r="N217" i="64"/>
  <c r="N220" i="64"/>
  <c r="N32" i="64"/>
  <c r="N33" i="64"/>
  <c r="N29" i="64"/>
  <c r="N35" i="64"/>
  <c r="N30" i="64"/>
  <c r="N34" i="64"/>
  <c r="N31" i="64"/>
  <c r="N36" i="64"/>
  <c r="N12" i="64"/>
  <c r="N239" i="64"/>
  <c r="N233" i="64"/>
  <c r="N227" i="64"/>
  <c r="N232" i="64"/>
  <c r="N236" i="64"/>
  <c r="N237" i="64"/>
  <c r="N231" i="64"/>
  <c r="N229" i="64"/>
  <c r="N238" i="64"/>
  <c r="N234" i="64"/>
  <c r="N235" i="64"/>
  <c r="N228" i="64"/>
  <c r="N240" i="64"/>
  <c r="N230" i="64"/>
  <c r="N429" i="64"/>
  <c r="N439" i="64"/>
  <c r="N430" i="64"/>
  <c r="N434" i="64"/>
  <c r="N437" i="64"/>
  <c r="N426" i="64"/>
  <c r="N424" i="64"/>
  <c r="N428" i="64"/>
  <c r="N432" i="64"/>
  <c r="N436" i="64"/>
  <c r="N433" i="64"/>
  <c r="N431" i="64"/>
  <c r="N438" i="64"/>
  <c r="N425" i="64"/>
  <c r="N427" i="64"/>
  <c r="N435" i="64"/>
  <c r="N38" i="64"/>
  <c r="N39" i="64"/>
  <c r="N40" i="64"/>
  <c r="N37" i="64"/>
  <c r="N13" i="64"/>
  <c r="N246" i="64"/>
  <c r="N249" i="64"/>
  <c r="N243" i="64"/>
  <c r="N241" i="64"/>
  <c r="N247" i="64"/>
  <c r="N242" i="64"/>
  <c r="N245" i="64"/>
  <c r="N244" i="64"/>
  <c r="N248" i="64"/>
  <c r="J394" i="44"/>
  <c r="N14" i="64"/>
  <c r="N445" i="64"/>
  <c r="N446" i="64"/>
  <c r="N442" i="64"/>
  <c r="N440" i="64"/>
  <c r="N443" i="64"/>
  <c r="N448" i="64"/>
  <c r="N444" i="64"/>
  <c r="N447" i="64"/>
  <c r="N441" i="64"/>
  <c r="N41" i="64"/>
  <c r="N42" i="64"/>
  <c r="N44" i="64"/>
  <c r="N43" i="64"/>
  <c r="BQ17" i="51"/>
  <c r="BR17" i="51" s="1"/>
  <c r="BT17" i="51" s="1"/>
  <c r="N168" i="64"/>
  <c r="N162" i="64"/>
  <c r="N161" i="64"/>
  <c r="N165" i="64"/>
  <c r="N164" i="64"/>
  <c r="N167" i="64"/>
  <c r="N166" i="64"/>
  <c r="N163" i="64"/>
  <c r="BZ14" i="51"/>
  <c r="CA14" i="51" s="1"/>
  <c r="CC14" i="51" s="1"/>
  <c r="N252" i="64"/>
  <c r="N255" i="64"/>
  <c r="N253" i="64"/>
  <c r="N254" i="64"/>
  <c r="N250" i="64"/>
  <c r="N257" i="64"/>
  <c r="N251" i="64"/>
  <c r="N256" i="64"/>
  <c r="BQ20" i="51"/>
  <c r="BR20" i="51" s="1"/>
  <c r="BT20" i="51" s="1"/>
  <c r="BZ15" i="51"/>
  <c r="CA15" i="51" s="1"/>
  <c r="CC15" i="51" s="1"/>
  <c r="N262" i="64"/>
  <c r="N265" i="64"/>
  <c r="N259" i="64"/>
  <c r="N264" i="64"/>
  <c r="N263" i="64"/>
  <c r="N258" i="64"/>
  <c r="N261" i="64"/>
  <c r="N266" i="64"/>
  <c r="N260" i="64"/>
  <c r="BZ19" i="51"/>
  <c r="N294" i="64"/>
  <c r="N297" i="64"/>
  <c r="N295" i="64"/>
  <c r="N299" i="64"/>
  <c r="N293" i="64"/>
  <c r="N298" i="64"/>
  <c r="N296" i="64"/>
  <c r="N292" i="64"/>
  <c r="N450" i="64"/>
  <c r="N452" i="64"/>
  <c r="N449" i="64"/>
  <c r="N451" i="64"/>
  <c r="N52" i="64"/>
  <c r="N49" i="64"/>
  <c r="N47" i="64"/>
  <c r="N45" i="64"/>
  <c r="N51" i="64"/>
  <c r="N46" i="64"/>
  <c r="N50" i="64"/>
  <c r="N48" i="64"/>
  <c r="BQ18" i="51"/>
  <c r="BR18" i="51" s="1"/>
  <c r="BT18" i="51" s="1"/>
  <c r="N173" i="64"/>
  <c r="N174" i="64"/>
  <c r="N175" i="64"/>
  <c r="N171" i="64"/>
  <c r="N177" i="64"/>
  <c r="N176" i="64"/>
  <c r="N172" i="64"/>
  <c r="N169" i="64"/>
  <c r="N170" i="64"/>
  <c r="N308" i="64"/>
  <c r="N310" i="64"/>
  <c r="N313" i="64"/>
  <c r="N311" i="64"/>
  <c r="N309" i="64"/>
  <c r="N314" i="64"/>
  <c r="N312" i="64"/>
  <c r="N315" i="64"/>
  <c r="N467" i="64"/>
  <c r="N461" i="64"/>
  <c r="N455" i="64"/>
  <c r="N453" i="64"/>
  <c r="N462" i="64"/>
  <c r="N466" i="64"/>
  <c r="N469" i="64"/>
  <c r="N458" i="64"/>
  <c r="N456" i="64"/>
  <c r="N459" i="64"/>
  <c r="N464" i="64"/>
  <c r="N468" i="64"/>
  <c r="N460" i="64"/>
  <c r="N465" i="64"/>
  <c r="N454" i="64"/>
  <c r="N463" i="64"/>
  <c r="N457" i="64"/>
  <c r="BH20" i="51"/>
  <c r="BI20" i="51" s="1"/>
  <c r="BK20" i="51" s="1"/>
  <c r="BQ19" i="51"/>
  <c r="BR19" i="51" s="1"/>
  <c r="BT19" i="51" s="1"/>
  <c r="N181" i="64"/>
  <c r="N178" i="64"/>
  <c r="N180" i="64"/>
  <c r="N184" i="64"/>
  <c r="N183" i="64"/>
  <c r="N182" i="64"/>
  <c r="N185" i="64"/>
  <c r="N179" i="64"/>
  <c r="BZ12" i="51"/>
  <c r="CA12" i="51" s="1"/>
  <c r="CC12" i="51" s="1"/>
  <c r="N320" i="64"/>
  <c r="N316" i="64"/>
  <c r="N319" i="64"/>
  <c r="N323" i="64"/>
  <c r="N317" i="64"/>
  <c r="N321" i="64"/>
  <c r="N318" i="64"/>
  <c r="N322" i="64"/>
  <c r="BZ13" i="51"/>
  <c r="CA13" i="51" s="1"/>
  <c r="CC13" i="51" s="1"/>
  <c r="BZ20" i="51"/>
  <c r="N304" i="64"/>
  <c r="N303" i="64"/>
  <c r="N300" i="64"/>
  <c r="N305" i="64"/>
  <c r="N307" i="64"/>
  <c r="N301" i="64"/>
  <c r="N302" i="64"/>
  <c r="N306" i="64"/>
  <c r="N483" i="64"/>
  <c r="N477" i="64"/>
  <c r="N471" i="64"/>
  <c r="N478" i="64"/>
  <c r="N482" i="64"/>
  <c r="N485" i="64"/>
  <c r="N474" i="64"/>
  <c r="N472" i="64"/>
  <c r="N475" i="64"/>
  <c r="N476" i="64"/>
  <c r="N480" i="64"/>
  <c r="N484" i="64"/>
  <c r="N481" i="64"/>
  <c r="N479" i="64"/>
  <c r="N486" i="64"/>
  <c r="N473" i="64"/>
  <c r="H17" i="40"/>
  <c r="H36" i="40"/>
  <c r="R22" i="40"/>
  <c r="K12" i="40"/>
  <c r="K31" i="40"/>
  <c r="M20" i="40"/>
  <c r="K20" i="40" s="1"/>
  <c r="O30" i="40"/>
  <c r="AJ64" i="28"/>
  <c r="S71" i="45"/>
  <c r="O17" i="64"/>
  <c r="P17" i="64" s="1"/>
  <c r="J18" i="64"/>
  <c r="L18" i="64"/>
  <c r="O8" i="64"/>
  <c r="M8" i="64"/>
  <c r="M18" i="64" s="1"/>
  <c r="O14" i="64"/>
  <c r="P14" i="64" s="1"/>
  <c r="O12" i="64"/>
  <c r="P12" i="64" s="1"/>
  <c r="O13" i="64"/>
  <c r="P13" i="64" s="1"/>
  <c r="K18" i="64"/>
  <c r="O9" i="64"/>
  <c r="P9" i="64" s="1"/>
  <c r="N29" i="46"/>
  <c r="G44" i="5"/>
  <c r="G43" i="5" s="1"/>
  <c r="BK17" i="51"/>
  <c r="BI21" i="51"/>
  <c r="BT9" i="51"/>
  <c r="N11" i="64"/>
  <c r="CJ17" i="51"/>
  <c r="CL17" i="51" s="1"/>
  <c r="L71" i="45"/>
  <c r="P8" i="64"/>
  <c r="N15" i="64"/>
  <c r="N16" i="64"/>
  <c r="CJ18" i="51"/>
  <c r="CL18" i="51" s="1"/>
  <c r="N10" i="64"/>
  <c r="BZ16" i="51"/>
  <c r="CA16" i="51" s="1"/>
  <c r="CC16" i="51" s="1"/>
  <c r="H28" i="46"/>
  <c r="N28" i="46" s="1"/>
  <c r="CJ20" i="51"/>
  <c r="CL20" i="51" s="1"/>
  <c r="CJ19" i="51"/>
  <c r="CL19" i="51" s="1"/>
  <c r="H34" i="40"/>
  <c r="H39" i="40"/>
  <c r="O25" i="40"/>
  <c r="G21" i="40"/>
  <c r="E21" i="40" s="1"/>
  <c r="G38" i="40"/>
  <c r="E38" i="40" s="1"/>
  <c r="R38" i="40" s="1"/>
  <c r="H27" i="40"/>
  <c r="H24" i="40"/>
  <c r="L15" i="40"/>
  <c r="L13" i="40"/>
  <c r="D14" i="40" s="1"/>
  <c r="O37" i="40"/>
  <c r="AE64" i="28"/>
  <c r="G30" i="40"/>
  <c r="E30" i="40" s="1"/>
  <c r="R30" i="40" s="1"/>
  <c r="R35" i="40"/>
  <c r="G12" i="40"/>
  <c r="E12" i="40" s="1"/>
  <c r="R12" i="40" s="1"/>
  <c r="K25" i="40"/>
  <c r="K21" i="40"/>
  <c r="L19" i="40"/>
  <c r="H19" i="40"/>
  <c r="I64" i="28"/>
  <c r="G37" i="40"/>
  <c r="E37" i="40" s="1"/>
  <c r="H18" i="40"/>
  <c r="K35" i="40"/>
  <c r="M17" i="40"/>
  <c r="K17" i="40" s="1"/>
  <c r="R31" i="40"/>
  <c r="I37" i="40"/>
  <c r="R25" i="40"/>
  <c r="H37" i="40"/>
  <c r="Q64" i="28"/>
  <c r="O31" i="40"/>
  <c r="K18" i="40"/>
  <c r="I18" i="40" s="1"/>
  <c r="R18" i="40" s="1"/>
  <c r="AJ48" i="45"/>
  <c r="AI57" i="28" s="1"/>
  <c r="AB57" i="28"/>
  <c r="AB44" i="28" s="1"/>
  <c r="AB7" i="29" s="1"/>
  <c r="Y64" i="28"/>
  <c r="Y44" i="28" s="1"/>
  <c r="Y7" i="29" s="1"/>
  <c r="X27" i="32" s="1"/>
  <c r="CH12" i="51"/>
  <c r="CJ12" i="51" s="1"/>
  <c r="CL12" i="51" s="1"/>
  <c r="AC7" i="28"/>
  <c r="AC4" i="28" s="1"/>
  <c r="AC4" i="29" s="1"/>
  <c r="AB17" i="25" s="1"/>
  <c r="AB17" i="27" s="1"/>
  <c r="AB14" i="31" s="1"/>
  <c r="AB17" i="32" s="1"/>
  <c r="CH16" i="51"/>
  <c r="CJ16" i="51" s="1"/>
  <c r="CL16" i="51" s="1"/>
  <c r="F25" i="32"/>
  <c r="CH13" i="51"/>
  <c r="CJ13" i="51" s="1"/>
  <c r="CL13" i="51" s="1"/>
  <c r="CH11" i="51"/>
  <c r="CJ11" i="51" s="1"/>
  <c r="CL11" i="51" s="1"/>
  <c r="C9" i="57"/>
  <c r="C10" i="57" s="1"/>
  <c r="H33" i="40"/>
  <c r="H35" i="40"/>
  <c r="H38" i="40"/>
  <c r="H40" i="40"/>
  <c r="H30" i="40"/>
  <c r="H23" i="40"/>
  <c r="H26" i="40"/>
  <c r="H25" i="40"/>
  <c r="H22" i="40"/>
  <c r="H28" i="40"/>
  <c r="H14" i="40"/>
  <c r="H29" i="40"/>
  <c r="L16" i="40"/>
  <c r="H32" i="40"/>
  <c r="O23" i="40"/>
  <c r="M40" i="40"/>
  <c r="R40" i="40" s="1"/>
  <c r="M39" i="40"/>
  <c r="K39" i="40" s="1"/>
  <c r="K33" i="40"/>
  <c r="M27" i="40"/>
  <c r="K27" i="40" s="1"/>
  <c r="K22" i="40"/>
  <c r="G34" i="40"/>
  <c r="E34" i="40" s="1"/>
  <c r="R34" i="40" s="1"/>
  <c r="R21" i="40"/>
  <c r="K38" i="40"/>
  <c r="K34" i="40"/>
  <c r="R23" i="40"/>
  <c r="K23" i="40"/>
  <c r="M28" i="40"/>
  <c r="K28" i="40" s="1"/>
  <c r="O34" i="40"/>
  <c r="K30" i="40"/>
  <c r="M19" i="40"/>
  <c r="K19" i="40" s="1"/>
  <c r="I19" i="40" s="1"/>
  <c r="R19" i="40" s="1"/>
  <c r="E58" i="45"/>
  <c r="V4" i="5"/>
  <c r="V13" i="27" s="1"/>
  <c r="V10" i="31" s="1"/>
  <c r="AD4" i="5"/>
  <c r="AD13" i="27" s="1"/>
  <c r="AD10" i="31" s="1"/>
  <c r="AL4" i="5"/>
  <c r="AL13" i="27" s="1"/>
  <c r="AL13" i="32" s="1"/>
  <c r="AB4" i="5"/>
  <c r="AB13" i="27" s="1"/>
  <c r="AJ4" i="5"/>
  <c r="AJ13" i="27" s="1"/>
  <c r="AJ10" i="31" s="1"/>
  <c r="T4" i="5"/>
  <c r="T13" i="25" s="1"/>
  <c r="AH64" i="28"/>
  <c r="AH44" i="28" s="1"/>
  <c r="AH7" i="29" s="1"/>
  <c r="AG27" i="32" s="1"/>
  <c r="N7" i="28"/>
  <c r="N4" i="28" s="1"/>
  <c r="N4" i="29" s="1"/>
  <c r="M17" i="25" s="1"/>
  <c r="M17" i="27" s="1"/>
  <c r="M14" i="31" s="1"/>
  <c r="M17" i="32" s="1"/>
  <c r="H43" i="5"/>
  <c r="H19" i="25" s="1"/>
  <c r="N64" i="28"/>
  <c r="N44" i="28" s="1"/>
  <c r="N7" i="29" s="1"/>
  <c r="M27" i="32" s="1"/>
  <c r="E64" i="28"/>
  <c r="E5" i="45"/>
  <c r="V64" i="28"/>
  <c r="V44" i="28" s="1"/>
  <c r="V7" i="29" s="1"/>
  <c r="U27" i="32" s="1"/>
  <c r="L64" i="28"/>
  <c r="L44" i="28" s="1"/>
  <c r="L7" i="29" s="1"/>
  <c r="K27" i="32" s="1"/>
  <c r="AD64" i="28"/>
  <c r="AD44" i="28" s="1"/>
  <c r="AD7" i="29" s="1"/>
  <c r="AC25" i="31" s="1"/>
  <c r="AL64" i="28"/>
  <c r="AL44" i="28" s="1"/>
  <c r="AL7" i="29" s="1"/>
  <c r="AK25" i="31" s="1"/>
  <c r="E46" i="45"/>
  <c r="E30" i="45"/>
  <c r="E34" i="45"/>
  <c r="Z64" i="28"/>
  <c r="Z44" i="28" s="1"/>
  <c r="Z7" i="29" s="1"/>
  <c r="Y25" i="31" s="1"/>
  <c r="AA64" i="28"/>
  <c r="AA44" i="28" s="1"/>
  <c r="AA7" i="29" s="1"/>
  <c r="Z27" i="32" s="1"/>
  <c r="AI64" i="28"/>
  <c r="U64" i="28"/>
  <c r="U44" i="28" s="1"/>
  <c r="U7" i="29" s="1"/>
  <c r="T25" i="31" s="1"/>
  <c r="T64" i="28"/>
  <c r="T44" i="28" s="1"/>
  <c r="T7" i="29" s="1"/>
  <c r="S25" i="31" s="1"/>
  <c r="AM64" i="28"/>
  <c r="E52" i="45"/>
  <c r="J64" i="28"/>
  <c r="R64" i="28"/>
  <c r="E12" i="45"/>
  <c r="E9" i="45"/>
  <c r="E67" i="45"/>
  <c r="D13" i="28"/>
  <c r="CH14" i="51"/>
  <c r="CJ14" i="51" s="1"/>
  <c r="CL14" i="51" s="1"/>
  <c r="D11" i="28"/>
  <c r="Y7" i="28"/>
  <c r="Y4" i="28" s="1"/>
  <c r="Y4" i="29" s="1"/>
  <c r="X24" i="32" s="1"/>
  <c r="R7" i="28"/>
  <c r="R4" i="28" s="1"/>
  <c r="R4" i="29" s="1"/>
  <c r="Q22" i="31" s="1"/>
  <c r="E60" i="28"/>
  <c r="E47" i="45"/>
  <c r="P13" i="25"/>
  <c r="P13" i="27"/>
  <c r="P13" i="32" s="1"/>
  <c r="S10" i="28"/>
  <c r="S7" i="28" s="1"/>
  <c r="S4" i="28" s="1"/>
  <c r="S4" i="29" s="1"/>
  <c r="S8" i="29" s="1"/>
  <c r="R6" i="25" s="1"/>
  <c r="R6" i="27" s="1"/>
  <c r="E23" i="45"/>
  <c r="S27" i="45"/>
  <c r="R60" i="28" s="1"/>
  <c r="E69" i="28"/>
  <c r="D56" i="28"/>
  <c r="J31" i="45"/>
  <c r="I69" i="28" s="1"/>
  <c r="E15" i="45"/>
  <c r="G66" i="28"/>
  <c r="G64" i="28" s="1"/>
  <c r="G44" i="28" s="1"/>
  <c r="G7" i="29" s="1"/>
  <c r="E57" i="45"/>
  <c r="D61" i="28"/>
  <c r="D62" i="28"/>
  <c r="J7" i="28"/>
  <c r="J4" i="28" s="1"/>
  <c r="J4" i="29" s="1"/>
  <c r="J8" i="29" s="1"/>
  <c r="K64" i="28"/>
  <c r="K44" i="28" s="1"/>
  <c r="K7" i="29" s="1"/>
  <c r="J25" i="31" s="1"/>
  <c r="E26" i="45"/>
  <c r="AC64" i="28"/>
  <c r="AC44" i="28" s="1"/>
  <c r="W64" i="28"/>
  <c r="W44" i="28" s="1"/>
  <c r="W7" i="29" s="1"/>
  <c r="V27" i="32" s="1"/>
  <c r="S67" i="28"/>
  <c r="S64" i="28" s="1"/>
  <c r="S44" i="28" s="1"/>
  <c r="S7" i="29" s="1"/>
  <c r="P64" i="28"/>
  <c r="P44" i="28" s="1"/>
  <c r="P7" i="29" s="1"/>
  <c r="O25" i="31" s="1"/>
  <c r="X64" i="28"/>
  <c r="AF64" i="28"/>
  <c r="AG64" i="28"/>
  <c r="AG44" i="28" s="1"/>
  <c r="AG7" i="29" s="1"/>
  <c r="AF27" i="32" s="1"/>
  <c r="M64" i="28"/>
  <c r="M44" i="28" s="1"/>
  <c r="M7" i="29" s="1"/>
  <c r="L25" i="31" s="1"/>
  <c r="O43" i="5"/>
  <c r="M208" i="33"/>
  <c r="M8" i="33" s="1"/>
  <c r="F208" i="33"/>
  <c r="F8" i="33" s="1"/>
  <c r="N208" i="33"/>
  <c r="N8" i="33" s="1"/>
  <c r="H208" i="33"/>
  <c r="H8" i="33" s="1"/>
  <c r="I208" i="33"/>
  <c r="I8" i="33" s="1"/>
  <c r="G208" i="33"/>
  <c r="G8" i="33" s="1"/>
  <c r="L208" i="33"/>
  <c r="L8" i="33" s="1"/>
  <c r="D208" i="33"/>
  <c r="D8" i="33" s="1"/>
  <c r="E208" i="33"/>
  <c r="E8" i="33" s="1"/>
  <c r="K208" i="33"/>
  <c r="K8" i="33" s="1"/>
  <c r="J208" i="33"/>
  <c r="J8" i="33" s="1"/>
  <c r="C208" i="33"/>
  <c r="P9" i="33"/>
  <c r="F10" i="50"/>
  <c r="AH62" i="45"/>
  <c r="AD62" i="45"/>
  <c r="Y62" i="45"/>
  <c r="AF62" i="45"/>
  <c r="AA62" i="45"/>
  <c r="U62" i="45"/>
  <c r="P62" i="45"/>
  <c r="R62" i="45"/>
  <c r="Z62" i="45"/>
  <c r="AL62" i="45"/>
  <c r="AK62" i="45"/>
  <c r="X62" i="45"/>
  <c r="S62" i="45"/>
  <c r="AG62" i="45"/>
  <c r="T62" i="45"/>
  <c r="AB62" i="45"/>
  <c r="W62" i="45"/>
  <c r="AC62" i="45"/>
  <c r="O62" i="45"/>
  <c r="M62" i="45"/>
  <c r="AE62" i="45"/>
  <c r="L62" i="45"/>
  <c r="AJ62" i="45"/>
  <c r="K62" i="45"/>
  <c r="I45" i="5" s="1"/>
  <c r="AI62" i="45"/>
  <c r="AM62" i="45"/>
  <c r="AN62" i="45"/>
  <c r="K10" i="40"/>
  <c r="K29" i="40"/>
  <c r="H64" i="28"/>
  <c r="H44" i="28" s="1"/>
  <c r="H7" i="29" s="1"/>
  <c r="O38" i="40"/>
  <c r="E14" i="28"/>
  <c r="E5" i="29" s="1"/>
  <c r="K7" i="28"/>
  <c r="K4" i="28" s="1"/>
  <c r="K4" i="29" s="1"/>
  <c r="J17" i="25" s="1"/>
  <c r="J17" i="27" s="1"/>
  <c r="J14" i="31" s="1"/>
  <c r="J17" i="32" s="1"/>
  <c r="T7" i="28"/>
  <c r="T4" i="28" s="1"/>
  <c r="T4" i="29" s="1"/>
  <c r="AB7" i="28"/>
  <c r="AB4" i="28" s="1"/>
  <c r="AB4" i="29" s="1"/>
  <c r="AA17" i="25" s="1"/>
  <c r="AJ7" i="28"/>
  <c r="AJ4" i="28" s="1"/>
  <c r="AJ4" i="29" s="1"/>
  <c r="AI22" i="31" s="1"/>
  <c r="L40" i="40"/>
  <c r="L36" i="40"/>
  <c r="L32" i="40"/>
  <c r="L28" i="40"/>
  <c r="L24" i="40"/>
  <c r="L20" i="40"/>
  <c r="Y90" i="33"/>
  <c r="Z90" i="33" s="1"/>
  <c r="P10" i="33" s="1"/>
  <c r="L39" i="40"/>
  <c r="L35" i="40"/>
  <c r="L31" i="40"/>
  <c r="L27" i="40"/>
  <c r="L23" i="40"/>
  <c r="AF13" i="27"/>
  <c r="AF13" i="32" s="1"/>
  <c r="K36" i="40"/>
  <c r="O26" i="40"/>
  <c r="Q89" i="33"/>
  <c r="H15" i="40"/>
  <c r="I17" i="40"/>
  <c r="G36" i="40"/>
  <c r="E36" i="40" s="1"/>
  <c r="R36" i="40" s="1"/>
  <c r="L14" i="40"/>
  <c r="K26" i="40"/>
  <c r="L38" i="40"/>
  <c r="L34" i="40"/>
  <c r="L30" i="40"/>
  <c r="L26" i="40"/>
  <c r="L22" i="40"/>
  <c r="L18" i="40"/>
  <c r="H16" i="40"/>
  <c r="M32" i="40"/>
  <c r="K32" i="40" s="1"/>
  <c r="M24" i="40"/>
  <c r="K24" i="40" s="1"/>
  <c r="M41" i="40"/>
  <c r="K41" i="40" s="1"/>
  <c r="G29" i="40"/>
  <c r="E29" i="40" s="1"/>
  <c r="R29" i="40" s="1"/>
  <c r="G26" i="40"/>
  <c r="E26" i="40" s="1"/>
  <c r="R26" i="40" s="1"/>
  <c r="M15" i="40"/>
  <c r="K15" i="40" s="1"/>
  <c r="M16" i="40"/>
  <c r="K16" i="40" s="1"/>
  <c r="L41" i="40"/>
  <c r="L37" i="40"/>
  <c r="L33" i="40"/>
  <c r="L29" i="40"/>
  <c r="L25" i="40"/>
  <c r="L21" i="40"/>
  <c r="L17" i="40"/>
  <c r="L7" i="28"/>
  <c r="L4" i="28" s="1"/>
  <c r="L4" i="29" s="1"/>
  <c r="K22" i="31" s="1"/>
  <c r="U7" i="28"/>
  <c r="U4" i="28" s="1"/>
  <c r="U4" i="29" s="1"/>
  <c r="T24" i="32" s="1"/>
  <c r="AK7" i="28"/>
  <c r="AK4" i="28" s="1"/>
  <c r="AK4" i="29" s="1"/>
  <c r="AK8" i="29" s="1"/>
  <c r="E7" i="28"/>
  <c r="E4" i="28" s="1"/>
  <c r="M7" i="28"/>
  <c r="M4" i="28" s="1"/>
  <c r="M4" i="29" s="1"/>
  <c r="L24" i="32" s="1"/>
  <c r="V7" i="28"/>
  <c r="V4" i="28" s="1"/>
  <c r="V4" i="29" s="1"/>
  <c r="U22" i="31" s="1"/>
  <c r="AD7" i="28"/>
  <c r="AD4" i="28" s="1"/>
  <c r="AD4" i="29" s="1"/>
  <c r="AC22" i="31" s="1"/>
  <c r="AL7" i="28"/>
  <c r="AL4" i="28" s="1"/>
  <c r="AL4" i="29" s="1"/>
  <c r="AK24" i="32" s="1"/>
  <c r="F7" i="28"/>
  <c r="F4" i="28" s="1"/>
  <c r="F4" i="29" s="1"/>
  <c r="O7" i="28"/>
  <c r="O4" i="28" s="1"/>
  <c r="O4" i="29" s="1"/>
  <c r="N17" i="25" s="1"/>
  <c r="N17" i="27" s="1"/>
  <c r="N14" i="31" s="1"/>
  <c r="N17" i="32" s="1"/>
  <c r="W7" i="28"/>
  <c r="W4" i="28" s="1"/>
  <c r="W4" i="29" s="1"/>
  <c r="W8" i="29" s="1"/>
  <c r="V6" i="25" s="1"/>
  <c r="V6" i="27" s="1"/>
  <c r="AE7" i="28"/>
  <c r="AE4" i="28" s="1"/>
  <c r="AE4" i="29" s="1"/>
  <c r="AD17" i="25" s="1"/>
  <c r="AM7" i="28"/>
  <c r="AM4" i="28" s="1"/>
  <c r="AM4" i="29" s="1"/>
  <c r="AL24" i="32" s="1"/>
  <c r="G7" i="28"/>
  <c r="G4" i="28" s="1"/>
  <c r="G4" i="29" s="1"/>
  <c r="P7" i="28"/>
  <c r="P4" i="28" s="1"/>
  <c r="P4" i="29" s="1"/>
  <c r="P8" i="29" s="1"/>
  <c r="X7" i="28"/>
  <c r="X4" i="28" s="1"/>
  <c r="X4" i="29" s="1"/>
  <c r="W24" i="32" s="1"/>
  <c r="AF7" i="28"/>
  <c r="AF4" i="28" s="1"/>
  <c r="AF4" i="29" s="1"/>
  <c r="AE22" i="31" s="1"/>
  <c r="H7" i="28"/>
  <c r="H4" i="28" s="1"/>
  <c r="H4" i="29" s="1"/>
  <c r="Q7" i="28"/>
  <c r="Q4" i="28" s="1"/>
  <c r="Q4" i="29" s="1"/>
  <c r="P24" i="32" s="1"/>
  <c r="AG7" i="28"/>
  <c r="AG4" i="28" s="1"/>
  <c r="AG4" i="29" s="1"/>
  <c r="I7" i="28"/>
  <c r="I4" i="28" s="1"/>
  <c r="I4" i="29" s="1"/>
  <c r="Z7" i="28"/>
  <c r="Z4" i="28" s="1"/>
  <c r="Z4" i="29" s="1"/>
  <c r="Y24" i="32" s="1"/>
  <c r="AH7" i="28"/>
  <c r="AH4" i="28" s="1"/>
  <c r="AH4" i="29" s="1"/>
  <c r="AG24" i="32" s="1"/>
  <c r="AA7" i="28"/>
  <c r="AA4" i="28" s="1"/>
  <c r="AA4" i="29" s="1"/>
  <c r="AA8" i="29" s="1"/>
  <c r="Z6" i="25" s="1"/>
  <c r="Z6" i="27" s="1"/>
  <c r="AI7" i="28"/>
  <c r="AI4" i="28" s="1"/>
  <c r="AI4" i="29" s="1"/>
  <c r="AH24" i="32" s="1"/>
  <c r="D30" i="50"/>
  <c r="E18" i="5" s="1"/>
  <c r="D45" i="50" s="1"/>
  <c r="X44" i="28"/>
  <c r="X7" i="29" s="1"/>
  <c r="W25" i="31" s="1"/>
  <c r="E13" i="27"/>
  <c r="E10" i="31" s="1"/>
  <c r="N13" i="25"/>
  <c r="R13" i="25"/>
  <c r="R13" i="27"/>
  <c r="Z13" i="27"/>
  <c r="Z10" i="31" s="1"/>
  <c r="Z13" i="25"/>
  <c r="AH13" i="27"/>
  <c r="AH13" i="25"/>
  <c r="F10" i="31"/>
  <c r="F13" i="32"/>
  <c r="F13" i="25"/>
  <c r="AK13" i="27"/>
  <c r="O13" i="25"/>
  <c r="O13" i="27"/>
  <c r="H13" i="27"/>
  <c r="H13" i="32" s="1"/>
  <c r="F44" i="28"/>
  <c r="F7" i="29" s="1"/>
  <c r="E27" i="32" s="1"/>
  <c r="AJ44" i="28"/>
  <c r="AJ7" i="29" s="1"/>
  <c r="C22" i="5"/>
  <c r="R23" i="31"/>
  <c r="R25" i="32"/>
  <c r="C44" i="5"/>
  <c r="AA13" i="27"/>
  <c r="AA13" i="25"/>
  <c r="W13" i="27"/>
  <c r="W13" i="32" s="1"/>
  <c r="W13" i="25"/>
  <c r="AE13" i="27"/>
  <c r="AE13" i="25"/>
  <c r="L13" i="25"/>
  <c r="L13" i="27"/>
  <c r="K13" i="25"/>
  <c r="K13" i="27"/>
  <c r="S13" i="27"/>
  <c r="S13" i="32" s="1"/>
  <c r="S13" i="25"/>
  <c r="AI13" i="27"/>
  <c r="AI13" i="25"/>
  <c r="J13" i="27"/>
  <c r="J10" i="31" s="1"/>
  <c r="G13" i="25"/>
  <c r="AA26" i="23"/>
  <c r="AA30" i="32" s="1"/>
  <c r="AE26" i="23"/>
  <c r="AE30" i="32" s="1"/>
  <c r="AI26" i="23"/>
  <c r="AI30" i="32" s="1"/>
  <c r="AK44" i="28"/>
  <c r="AK7" i="29" s="1"/>
  <c r="AJ27" i="32" s="1"/>
  <c r="J44" i="28"/>
  <c r="J7" i="29" s="1"/>
  <c r="I27" i="32" s="1"/>
  <c r="O44" i="28"/>
  <c r="O7" i="29" s="1"/>
  <c r="N27" i="32" s="1"/>
  <c r="AE44" i="28"/>
  <c r="AE7" i="29" s="1"/>
  <c r="AD25" i="31" s="1"/>
  <c r="V25" i="32"/>
  <c r="V23" i="31"/>
  <c r="P10" i="40"/>
  <c r="P11" i="40"/>
  <c r="N13" i="32"/>
  <c r="N10" i="31"/>
  <c r="M13" i="27"/>
  <c r="M13" i="25"/>
  <c r="Q13" i="25"/>
  <c r="Q13" i="27"/>
  <c r="U13" i="25"/>
  <c r="U13" i="27"/>
  <c r="Y13" i="25"/>
  <c r="Y13" i="27"/>
  <c r="AC13" i="25"/>
  <c r="AC13" i="27"/>
  <c r="AG13" i="27"/>
  <c r="AG13" i="25"/>
  <c r="I13" i="27"/>
  <c r="I13" i="25"/>
  <c r="G13" i="32"/>
  <c r="G10" i="31"/>
  <c r="D10" i="31"/>
  <c r="D13" i="25"/>
  <c r="X13" i="27"/>
  <c r="C20" i="5"/>
  <c r="U26" i="23"/>
  <c r="U30" i="32" s="1"/>
  <c r="M23" i="31"/>
  <c r="M25" i="32"/>
  <c r="AB25" i="32"/>
  <c r="AB23" i="31"/>
  <c r="H5" i="29"/>
  <c r="G25" i="32" s="1"/>
  <c r="L5" i="29"/>
  <c r="R5" i="29"/>
  <c r="Q25" i="32" s="1"/>
  <c r="V5" i="29"/>
  <c r="U25" i="32" s="1"/>
  <c r="Z5" i="29"/>
  <c r="AD5" i="29"/>
  <c r="AH5" i="29"/>
  <c r="AL5" i="29"/>
  <c r="AH25" i="32"/>
  <c r="AH23" i="31"/>
  <c r="Q5" i="29"/>
  <c r="U5" i="29"/>
  <c r="Y5" i="29"/>
  <c r="AG5" i="29"/>
  <c r="W25" i="32"/>
  <c r="W23" i="31"/>
  <c r="F23" i="31"/>
  <c r="D23" i="28"/>
  <c r="V26" i="23"/>
  <c r="V30" i="32" s="1"/>
  <c r="AC26" i="23"/>
  <c r="AC30" i="32" s="1"/>
  <c r="AG26" i="23"/>
  <c r="AG30" i="32" s="1"/>
  <c r="T26" i="23"/>
  <c r="X26" i="23"/>
  <c r="Z26" i="23"/>
  <c r="AD26" i="23"/>
  <c r="AH26" i="23"/>
  <c r="AK26" i="23"/>
  <c r="L25" i="32"/>
  <c r="L23" i="31"/>
  <c r="S23" i="31"/>
  <c r="S25" i="32"/>
  <c r="AJ25" i="32"/>
  <c r="AJ23" i="31"/>
  <c r="AL23" i="31"/>
  <c r="AL25" i="32"/>
  <c r="S26" i="23"/>
  <c r="N23" i="31"/>
  <c r="N25" i="32"/>
  <c r="AA25" i="32"/>
  <c r="AA23" i="31"/>
  <c r="AD25" i="32"/>
  <c r="AD23" i="31"/>
  <c r="O23" i="31"/>
  <c r="O25" i="32"/>
  <c r="W26" i="23"/>
  <c r="AB26" i="23"/>
  <c r="AF26" i="23"/>
  <c r="AJ26" i="23"/>
  <c r="AL26" i="23"/>
  <c r="I23" i="31"/>
  <c r="I25" i="32"/>
  <c r="AI23" i="31"/>
  <c r="AI25" i="32"/>
  <c r="E23" i="31"/>
  <c r="E25" i="32"/>
  <c r="H25" i="32"/>
  <c r="I1" i="29"/>
  <c r="J1" i="29" s="1"/>
  <c r="J2" i="29" s="1"/>
  <c r="H23" i="31"/>
  <c r="J25" i="32"/>
  <c r="J23" i="31"/>
  <c r="Y26" i="23"/>
  <c r="Z23" i="31"/>
  <c r="Z25" i="32"/>
  <c r="AE23" i="31"/>
  <c r="AE25" i="32"/>
  <c r="CG21" i="51"/>
  <c r="CH15" i="51"/>
  <c r="CJ15" i="51" s="1"/>
  <c r="CL15" i="51" s="1"/>
  <c r="BW21" i="51"/>
  <c r="CH10" i="51"/>
  <c r="CJ10" i="51" s="1"/>
  <c r="CL10" i="51" s="1"/>
  <c r="CF21" i="51"/>
  <c r="C36" i="50"/>
  <c r="BY19" i="51"/>
  <c r="CA19" i="51" s="1"/>
  <c r="CC19" i="51" s="1"/>
  <c r="BX21" i="51"/>
  <c r="BY18" i="51"/>
  <c r="CA18" i="51" s="1"/>
  <c r="CC18" i="51" s="1"/>
  <c r="BY20" i="51"/>
  <c r="CA20" i="51" s="1"/>
  <c r="CC20" i="51" s="1"/>
  <c r="CH9" i="51"/>
  <c r="K31" i="50"/>
  <c r="L21" i="5" s="1"/>
  <c r="K46" i="50" s="1"/>
  <c r="I31" i="50"/>
  <c r="J21" i="5" s="1"/>
  <c r="I46" i="50" s="1"/>
  <c r="I28" i="50"/>
  <c r="J13" i="5" s="1"/>
  <c r="I43" i="50" s="1"/>
  <c r="G31" i="50"/>
  <c r="H21" i="5" s="1"/>
  <c r="G46" i="50" s="1"/>
  <c r="J37" i="50"/>
  <c r="C35" i="50"/>
  <c r="H37" i="50"/>
  <c r="K30" i="50"/>
  <c r="L18" i="5" s="1"/>
  <c r="M29" i="50"/>
  <c r="N15" i="5" s="1"/>
  <c r="M44" i="50" s="1"/>
  <c r="M16" i="5"/>
  <c r="M15" i="27" s="1"/>
  <c r="D31" i="50"/>
  <c r="E21" i="5" s="1"/>
  <c r="D46" i="50" s="1"/>
  <c r="G37" i="50"/>
  <c r="G35" i="50"/>
  <c r="E38" i="50"/>
  <c r="G13" i="50"/>
  <c r="G27" i="50" s="1"/>
  <c r="J35" i="50"/>
  <c r="J29" i="50"/>
  <c r="K15" i="5" s="1"/>
  <c r="K11" i="5" s="1"/>
  <c r="D13" i="50"/>
  <c r="D34" i="50" s="1"/>
  <c r="D36" i="50"/>
  <c r="G36" i="50"/>
  <c r="L28" i="50"/>
  <c r="M13" i="5" s="1"/>
  <c r="L43" i="50" s="1"/>
  <c r="E45" i="50"/>
  <c r="F16" i="5"/>
  <c r="F15" i="25" s="1"/>
  <c r="G45" i="50"/>
  <c r="D39" i="25"/>
  <c r="D73" i="25" s="1"/>
  <c r="H13" i="50"/>
  <c r="C13" i="50"/>
  <c r="C34" i="50" s="1"/>
  <c r="C38" i="50"/>
  <c r="H29" i="50"/>
  <c r="I15" i="5" s="1"/>
  <c r="H44" i="50" s="1"/>
  <c r="K36" i="50"/>
  <c r="E36" i="50"/>
  <c r="D28" i="50"/>
  <c r="E13" i="5" s="1"/>
  <c r="E11" i="5" s="1"/>
  <c r="J13" i="50"/>
  <c r="M38" i="50"/>
  <c r="D11" i="5"/>
  <c r="D14" i="25" s="1"/>
  <c r="K13" i="50"/>
  <c r="I37" i="50"/>
  <c r="L29" i="50"/>
  <c r="M15" i="5" s="1"/>
  <c r="L44" i="50" s="1"/>
  <c r="M28" i="50"/>
  <c r="N13" i="5" s="1"/>
  <c r="M43" i="50" s="1"/>
  <c r="I45" i="50"/>
  <c r="K43" i="50"/>
  <c r="L11" i="5"/>
  <c r="H11" i="5"/>
  <c r="G43" i="50"/>
  <c r="D44" i="50"/>
  <c r="M45" i="50"/>
  <c r="H31" i="50"/>
  <c r="I21" i="5" s="1"/>
  <c r="I29" i="50"/>
  <c r="J15" i="5" s="1"/>
  <c r="K35" i="50"/>
  <c r="J38" i="50"/>
  <c r="H28" i="50"/>
  <c r="I13" i="5" s="1"/>
  <c r="L38" i="50"/>
  <c r="I13" i="50"/>
  <c r="E13" i="50"/>
  <c r="J31" i="50"/>
  <c r="K21" i="5" s="1"/>
  <c r="C30" i="50"/>
  <c r="D18" i="5" s="1"/>
  <c r="E28" i="50"/>
  <c r="F13" i="5" s="1"/>
  <c r="L13" i="50"/>
  <c r="M13" i="50"/>
  <c r="M37" i="50"/>
  <c r="L37" i="50"/>
  <c r="T30" i="64" l="1"/>
  <c r="U30" i="64" s="1"/>
  <c r="M74" i="45" s="1"/>
  <c r="K45" i="5" s="1"/>
  <c r="K43" i="5" s="1"/>
  <c r="K19" i="27" s="1"/>
  <c r="K19" i="32" s="1"/>
  <c r="BR21" i="51"/>
  <c r="E38" i="51"/>
  <c r="T33" i="64"/>
  <c r="U33" i="64" s="1"/>
  <c r="P74" i="45" s="1"/>
  <c r="N45" i="5" s="1"/>
  <c r="N43" i="5" s="1"/>
  <c r="T32" i="64"/>
  <c r="U32" i="64" s="1"/>
  <c r="O74" i="45" s="1"/>
  <c r="M45" i="5" s="1"/>
  <c r="N271" i="64"/>
  <c r="N278" i="64"/>
  <c r="N281" i="64"/>
  <c r="N268" i="64"/>
  <c r="N275" i="64"/>
  <c r="N273" i="64"/>
  <c r="N269" i="64"/>
  <c r="N279" i="64"/>
  <c r="N270" i="64"/>
  <c r="N274" i="64"/>
  <c r="N277" i="64"/>
  <c r="N267" i="64"/>
  <c r="N282" i="64"/>
  <c r="N280" i="64"/>
  <c r="N272" i="64"/>
  <c r="N276" i="64"/>
  <c r="BZ17" i="51"/>
  <c r="CA17" i="51" s="1"/>
  <c r="T29" i="64"/>
  <c r="BT21" i="51"/>
  <c r="G19" i="25"/>
  <c r="G19" i="27"/>
  <c r="R20" i="40"/>
  <c r="R39" i="40"/>
  <c r="AI44" i="28"/>
  <c r="AI7" i="29" s="1"/>
  <c r="AH25" i="31" s="1"/>
  <c r="I44" i="28"/>
  <c r="I7" i="29" s="1"/>
  <c r="H25" i="31" s="1"/>
  <c r="E48" i="45"/>
  <c r="P43" i="5"/>
  <c r="T22" i="31"/>
  <c r="T71" i="45"/>
  <c r="Q43" i="5"/>
  <c r="S74" i="45"/>
  <c r="P13" i="40"/>
  <c r="R92" i="33" s="1"/>
  <c r="J92" i="33" s="1"/>
  <c r="H19" i="27"/>
  <c r="H19" i="32" s="1"/>
  <c r="O10" i="64"/>
  <c r="P10" i="64" s="1"/>
  <c r="O15" i="64"/>
  <c r="P15" i="64" s="1"/>
  <c r="O16" i="64"/>
  <c r="P16" i="64" s="1"/>
  <c r="O11" i="64"/>
  <c r="P11" i="64" s="1"/>
  <c r="BK21" i="51"/>
  <c r="E34" i="51"/>
  <c r="N30" i="46"/>
  <c r="E35" i="51"/>
  <c r="P12" i="40"/>
  <c r="R211" i="33" s="1"/>
  <c r="K211" i="33" s="1"/>
  <c r="R37" i="40"/>
  <c r="R17" i="40"/>
  <c r="R28" i="40"/>
  <c r="K24" i="32"/>
  <c r="D60" i="28"/>
  <c r="X22" i="31"/>
  <c r="AE17" i="25"/>
  <c r="AE17" i="27" s="1"/>
  <c r="G24" i="32"/>
  <c r="Z17" i="25"/>
  <c r="Z17" i="27" s="1"/>
  <c r="Z14" i="31" s="1"/>
  <c r="Z17" i="32" s="1"/>
  <c r="E6" i="25"/>
  <c r="E6" i="27" s="1"/>
  <c r="S17" i="25"/>
  <c r="S17" i="27" s="1"/>
  <c r="F22" i="31"/>
  <c r="D23" i="31"/>
  <c r="F13" i="29"/>
  <c r="G13" i="29" s="1"/>
  <c r="H13" i="29" s="1"/>
  <c r="I13" i="29" s="1"/>
  <c r="J13" i="29" s="1"/>
  <c r="K13" i="29" s="1"/>
  <c r="L13" i="29" s="1"/>
  <c r="M13" i="29" s="1"/>
  <c r="N13" i="29" s="1"/>
  <c r="O13" i="29" s="1"/>
  <c r="P13" i="29" s="1"/>
  <c r="Q13" i="29" s="1"/>
  <c r="R13" i="29" s="1"/>
  <c r="S13" i="29" s="1"/>
  <c r="T13" i="29" s="1"/>
  <c r="U13" i="29" s="1"/>
  <c r="V13" i="29" s="1"/>
  <c r="W13" i="29" s="1"/>
  <c r="X13" i="29" s="1"/>
  <c r="Y13" i="29" s="1"/>
  <c r="Z13" i="29" s="1"/>
  <c r="AA13" i="29" s="1"/>
  <c r="AB13" i="29" s="1"/>
  <c r="AC13" i="29" s="1"/>
  <c r="AD13" i="29" s="1"/>
  <c r="AE13" i="29" s="1"/>
  <c r="AF13" i="29" s="1"/>
  <c r="AG13" i="29" s="1"/>
  <c r="AH13" i="29" s="1"/>
  <c r="AI13" i="29" s="1"/>
  <c r="AJ13" i="29" s="1"/>
  <c r="AK13" i="29" s="1"/>
  <c r="AL13" i="29" s="1"/>
  <c r="AM13" i="29" s="1"/>
  <c r="AI8" i="29"/>
  <c r="AH6" i="25" s="1"/>
  <c r="AH6" i="27" s="1"/>
  <c r="AF22" i="31"/>
  <c r="AF8" i="29"/>
  <c r="AE6" i="25" s="1"/>
  <c r="AH17" i="25"/>
  <c r="AH17" i="27" s="1"/>
  <c r="AH14" i="31" s="1"/>
  <c r="AH17" i="32" s="1"/>
  <c r="AE24" i="32"/>
  <c r="H10" i="31"/>
  <c r="AF44" i="28"/>
  <c r="AF7" i="29" s="1"/>
  <c r="AE25" i="31" s="1"/>
  <c r="AE21" i="31" s="1"/>
  <c r="M22" i="31"/>
  <c r="N8" i="29"/>
  <c r="M6" i="25" s="1"/>
  <c r="M6" i="27" s="1"/>
  <c r="M24" i="32"/>
  <c r="M23" i="32" s="1"/>
  <c r="AH22" i="31"/>
  <c r="V13" i="32"/>
  <c r="D57" i="28"/>
  <c r="Q44" i="28"/>
  <c r="Q7" i="29" s="1"/>
  <c r="P27" i="32" s="1"/>
  <c r="AM44" i="28"/>
  <c r="AM7" i="29" s="1"/>
  <c r="AL25" i="31" s="1"/>
  <c r="D14" i="28"/>
  <c r="D25" i="32"/>
  <c r="D15" i="40"/>
  <c r="P15" i="40" s="1"/>
  <c r="T13" i="27"/>
  <c r="T10" i="31" s="1"/>
  <c r="K40" i="40"/>
  <c r="R24" i="40"/>
  <c r="R27" i="40"/>
  <c r="R41" i="40"/>
  <c r="AL13" i="25"/>
  <c r="V13" i="25"/>
  <c r="AB13" i="32"/>
  <c r="AB10" i="31"/>
  <c r="AB13" i="25"/>
  <c r="AJ13" i="32"/>
  <c r="AJ13" i="25"/>
  <c r="E44" i="28"/>
  <c r="E7" i="29" s="1"/>
  <c r="D27" i="32" s="1"/>
  <c r="AD13" i="25"/>
  <c r="AD13" i="32"/>
  <c r="AJ25" i="31"/>
  <c r="C4" i="5"/>
  <c r="U8" i="29"/>
  <c r="T6" i="25" s="1"/>
  <c r="G22" i="31"/>
  <c r="E53" i="45"/>
  <c r="C9" i="5"/>
  <c r="AF10" i="31"/>
  <c r="R44" i="28"/>
  <c r="R7" i="29" s="1"/>
  <c r="Q25" i="31" s="1"/>
  <c r="Q24" i="32"/>
  <c r="D10" i="28"/>
  <c r="D67" i="28"/>
  <c r="D66" i="28"/>
  <c r="Y27" i="32"/>
  <c r="Y22" i="31"/>
  <c r="AJ17" i="25"/>
  <c r="AJ17" i="27" s="1"/>
  <c r="AJ24" i="32"/>
  <c r="AJ23" i="32" s="1"/>
  <c r="V17" i="25"/>
  <c r="V17" i="27" s="1"/>
  <c r="V14" i="31" s="1"/>
  <c r="V17" i="32" s="1"/>
  <c r="Z22" i="31"/>
  <c r="V22" i="31"/>
  <c r="Z24" i="32"/>
  <c r="Z23" i="32" s="1"/>
  <c r="E17" i="25"/>
  <c r="E17" i="27" s="1"/>
  <c r="E14" i="31" s="1"/>
  <c r="K8" i="29"/>
  <c r="J6" i="25" s="1"/>
  <c r="AF24" i="32"/>
  <c r="J24" i="32"/>
  <c r="AM8" i="29"/>
  <c r="J22" i="31"/>
  <c r="J21" i="31" s="1"/>
  <c r="M8" i="29"/>
  <c r="M9" i="29" s="1"/>
  <c r="L17" i="25"/>
  <c r="L17" i="27" s="1"/>
  <c r="L14" i="31" s="1"/>
  <c r="L17" i="32" s="1"/>
  <c r="AL17" i="25"/>
  <c r="AL17" i="27" s="1"/>
  <c r="L22" i="31"/>
  <c r="L21" i="31" s="1"/>
  <c r="V24" i="32"/>
  <c r="V23" i="32" s="1"/>
  <c r="P22" i="31"/>
  <c r="AJ22" i="31"/>
  <c r="F17" i="25"/>
  <c r="F17" i="27" s="1"/>
  <c r="F14" i="31" s="1"/>
  <c r="F17" i="32" s="1"/>
  <c r="S22" i="31"/>
  <c r="S21" i="31" s="1"/>
  <c r="R24" i="32"/>
  <c r="T8" i="29"/>
  <c r="T9" i="29" s="1"/>
  <c r="S24" i="32"/>
  <c r="AC7" i="29"/>
  <c r="AB25" i="31" s="1"/>
  <c r="AC72" i="28"/>
  <c r="X72" i="28"/>
  <c r="X8" i="29"/>
  <c r="W6" i="25" s="1"/>
  <c r="W6" i="27" s="1"/>
  <c r="Z13" i="32"/>
  <c r="D69" i="28"/>
  <c r="W22" i="31"/>
  <c r="W21" i="31" s="1"/>
  <c r="W17" i="25"/>
  <c r="W17" i="27" s="1"/>
  <c r="W14" i="31" s="1"/>
  <c r="W17" i="32" s="1"/>
  <c r="AK22" i="31"/>
  <c r="E31" i="45"/>
  <c r="R22" i="31"/>
  <c r="S72" i="28"/>
  <c r="R17" i="25"/>
  <c r="R17" i="27" s="1"/>
  <c r="R14" i="31" s="1"/>
  <c r="R17" i="32" s="1"/>
  <c r="D64" i="28"/>
  <c r="E27" i="45"/>
  <c r="P10" i="31"/>
  <c r="G23" i="31"/>
  <c r="AI24" i="32"/>
  <c r="H17" i="25"/>
  <c r="H17" i="27" s="1"/>
  <c r="H14" i="31" s="1"/>
  <c r="H17" i="32" s="1"/>
  <c r="I8" i="29"/>
  <c r="AA24" i="32"/>
  <c r="U24" i="32"/>
  <c r="U23" i="32" s="1"/>
  <c r="K72" i="28"/>
  <c r="AA22" i="31"/>
  <c r="AC27" i="32"/>
  <c r="F6" i="25"/>
  <c r="F6" i="27" s="1"/>
  <c r="N72" i="28"/>
  <c r="AG22" i="31"/>
  <c r="AJ8" i="29"/>
  <c r="AJ9" i="29" s="1"/>
  <c r="AB8" i="29"/>
  <c r="AB9" i="29" s="1"/>
  <c r="Z72" i="28"/>
  <c r="AL22" i="31"/>
  <c r="AJ72" i="28"/>
  <c r="R15" i="40"/>
  <c r="O19" i="27"/>
  <c r="O19" i="25"/>
  <c r="AD72" i="28"/>
  <c r="AL10" i="31"/>
  <c r="F24" i="32"/>
  <c r="AC24" i="32"/>
  <c r="E62" i="45"/>
  <c r="R32" i="40"/>
  <c r="C8" i="33"/>
  <c r="O208" i="33"/>
  <c r="O8" i="33" s="1"/>
  <c r="AI17" i="25"/>
  <c r="AI17" i="27" s="1"/>
  <c r="F9" i="50"/>
  <c r="F16" i="50" s="1"/>
  <c r="R16" i="40"/>
  <c r="D7" i="28"/>
  <c r="O8" i="29"/>
  <c r="O9" i="29" s="1"/>
  <c r="T27" i="32"/>
  <c r="E13" i="32"/>
  <c r="S10" i="31"/>
  <c r="Y72" i="28"/>
  <c r="U72" i="28"/>
  <c r="L27" i="32"/>
  <c r="L23" i="32" s="1"/>
  <c r="K25" i="31"/>
  <c r="X25" i="31"/>
  <c r="W72" i="28"/>
  <c r="M72" i="28"/>
  <c r="M25" i="31"/>
  <c r="AC8" i="29"/>
  <c r="AB6" i="25" s="1"/>
  <c r="AB6" i="27" s="1"/>
  <c r="H72" i="28"/>
  <c r="AB72" i="28"/>
  <c r="W10" i="31"/>
  <c r="AK13" i="32"/>
  <c r="AK10" i="31"/>
  <c r="R10" i="31"/>
  <c r="R13" i="32"/>
  <c r="AH10" i="31"/>
  <c r="AH13" i="32"/>
  <c r="Z25" i="31"/>
  <c r="J27" i="32"/>
  <c r="AD27" i="32"/>
  <c r="AE72" i="28"/>
  <c r="W27" i="32"/>
  <c r="W23" i="32" s="1"/>
  <c r="G72" i="28"/>
  <c r="AF25" i="31"/>
  <c r="AL72" i="28"/>
  <c r="AA72" i="28"/>
  <c r="AA9" i="29"/>
  <c r="AG72" i="28"/>
  <c r="AK27" i="32"/>
  <c r="T72" i="28"/>
  <c r="O13" i="32"/>
  <c r="O10" i="31"/>
  <c r="J13" i="32"/>
  <c r="F25" i="31"/>
  <c r="F27" i="32"/>
  <c r="AG25" i="31"/>
  <c r="E25" i="31"/>
  <c r="F72" i="28"/>
  <c r="AE8" i="29"/>
  <c r="AE9" i="29" s="1"/>
  <c r="L72" i="28"/>
  <c r="AH72" i="28"/>
  <c r="Q17" i="25"/>
  <c r="Q17" i="27" s="1"/>
  <c r="U17" i="25"/>
  <c r="U17" i="27" s="1"/>
  <c r="U23" i="31"/>
  <c r="V8" i="29"/>
  <c r="V9" i="29" s="1"/>
  <c r="P14" i="40"/>
  <c r="R133" i="33" s="1"/>
  <c r="D27" i="50"/>
  <c r="I17" i="25"/>
  <c r="I17" i="27" s="1"/>
  <c r="I14" i="31" s="1"/>
  <c r="I17" i="32" s="1"/>
  <c r="O17" i="25"/>
  <c r="O17" i="27" s="1"/>
  <c r="K13" i="32"/>
  <c r="K10" i="31"/>
  <c r="L13" i="32"/>
  <c r="L10" i="31"/>
  <c r="AI10" i="31"/>
  <c r="AI13" i="32"/>
  <c r="AE10" i="31"/>
  <c r="AE13" i="32"/>
  <c r="AA13" i="32"/>
  <c r="AA10" i="31"/>
  <c r="O27" i="32"/>
  <c r="AK72" i="28"/>
  <c r="P72" i="28"/>
  <c r="J72" i="28"/>
  <c r="I25" i="31"/>
  <c r="G17" i="25"/>
  <c r="G17" i="27" s="1"/>
  <c r="G14" i="31" s="1"/>
  <c r="G17" i="32" s="1"/>
  <c r="H8" i="29"/>
  <c r="D5" i="29"/>
  <c r="U25" i="31"/>
  <c r="G9" i="29"/>
  <c r="O72" i="28"/>
  <c r="V72" i="28"/>
  <c r="G16" i="31"/>
  <c r="G19" i="32"/>
  <c r="N25" i="31"/>
  <c r="S27" i="32"/>
  <c r="R8" i="29"/>
  <c r="Q6" i="25" s="1"/>
  <c r="T23" i="31"/>
  <c r="T21" i="31" s="1"/>
  <c r="Q23" i="31"/>
  <c r="T25" i="32"/>
  <c r="T17" i="25"/>
  <c r="T17" i="27" s="1"/>
  <c r="R50" i="33"/>
  <c r="R90" i="33"/>
  <c r="R130" i="33"/>
  <c r="R170" i="33"/>
  <c r="L170" i="33" s="1"/>
  <c r="R210" i="33"/>
  <c r="J210" i="33" s="1"/>
  <c r="R209" i="33"/>
  <c r="R49" i="33"/>
  <c r="R169" i="33"/>
  <c r="R89" i="33"/>
  <c r="R129" i="33"/>
  <c r="AD24" i="32"/>
  <c r="AD22" i="31"/>
  <c r="AD21" i="31" s="1"/>
  <c r="I24" i="32"/>
  <c r="I23" i="32" s="1"/>
  <c r="I22" i="31"/>
  <c r="N22" i="31"/>
  <c r="N24" i="32"/>
  <c r="N23" i="32" s="1"/>
  <c r="W9" i="29"/>
  <c r="V25" i="31"/>
  <c r="AI25" i="31"/>
  <c r="AI21" i="31" s="1"/>
  <c r="AI27" i="32"/>
  <c r="O24" i="32"/>
  <c r="O22" i="31"/>
  <c r="O21" i="31" s="1"/>
  <c r="AB24" i="32"/>
  <c r="AB22" i="31"/>
  <c r="H22" i="31"/>
  <c r="H24" i="32"/>
  <c r="E24" i="32"/>
  <c r="E23" i="32" s="1"/>
  <c r="E22" i="31"/>
  <c r="F9" i="29"/>
  <c r="D9" i="4" s="1"/>
  <c r="E4" i="29"/>
  <c r="F12" i="29" s="1"/>
  <c r="G12" i="29" s="1"/>
  <c r="H12" i="29" s="1"/>
  <c r="I12" i="29" s="1"/>
  <c r="J12" i="29" s="1"/>
  <c r="K12" i="29" s="1"/>
  <c r="L12" i="29" s="1"/>
  <c r="M12" i="29" s="1"/>
  <c r="N12" i="29" s="1"/>
  <c r="O12" i="29" s="1"/>
  <c r="P12" i="29" s="1"/>
  <c r="Q12" i="29" s="1"/>
  <c r="R12" i="29" s="1"/>
  <c r="S12" i="29" s="1"/>
  <c r="T12" i="29" s="1"/>
  <c r="U12" i="29" s="1"/>
  <c r="V12" i="29" s="1"/>
  <c r="W12" i="29" s="1"/>
  <c r="X12" i="29" s="1"/>
  <c r="Y12" i="29" s="1"/>
  <c r="Z12" i="29" s="1"/>
  <c r="AA12" i="29" s="1"/>
  <c r="AB12" i="29" s="1"/>
  <c r="AC12" i="29" s="1"/>
  <c r="AD12" i="29" s="1"/>
  <c r="AE12" i="29" s="1"/>
  <c r="AF12" i="29" s="1"/>
  <c r="AG12" i="29" s="1"/>
  <c r="AH12" i="29" s="1"/>
  <c r="AI12" i="29" s="1"/>
  <c r="AJ12" i="29" s="1"/>
  <c r="AK12" i="29" s="1"/>
  <c r="AL12" i="29" s="1"/>
  <c r="AM12" i="29" s="1"/>
  <c r="D4" i="28"/>
  <c r="AG13" i="32"/>
  <c r="AG10" i="31"/>
  <c r="AC10" i="31"/>
  <c r="AC13" i="32"/>
  <c r="U13" i="32"/>
  <c r="U10" i="31"/>
  <c r="X13" i="32"/>
  <c r="X10" i="31"/>
  <c r="I13" i="32"/>
  <c r="I10" i="31"/>
  <c r="M10" i="31"/>
  <c r="M13" i="32"/>
  <c r="Y13" i="32"/>
  <c r="Y10" i="31"/>
  <c r="Q10" i="31"/>
  <c r="Q13" i="32"/>
  <c r="G27" i="32"/>
  <c r="G25" i="31"/>
  <c r="R25" i="31"/>
  <c r="S9" i="29"/>
  <c r="R27" i="32"/>
  <c r="AA27" i="32"/>
  <c r="AA25" i="31"/>
  <c r="Y8" i="29"/>
  <c r="X6" i="25" s="1"/>
  <c r="X17" i="25"/>
  <c r="X17" i="27" s="1"/>
  <c r="X14" i="31" s="1"/>
  <c r="X17" i="32" s="1"/>
  <c r="X25" i="32"/>
  <c r="X23" i="32" s="1"/>
  <c r="X23" i="31"/>
  <c r="P25" i="32"/>
  <c r="P17" i="25"/>
  <c r="P17" i="27" s="1"/>
  <c r="P14" i="31" s="1"/>
  <c r="P17" i="32" s="1"/>
  <c r="Q8" i="29"/>
  <c r="P6" i="25" s="1"/>
  <c r="P23" i="31"/>
  <c r="AF25" i="32"/>
  <c r="AG8" i="29"/>
  <c r="AF6" i="25" s="1"/>
  <c r="AF23" i="31"/>
  <c r="AF17" i="25"/>
  <c r="AF17" i="27" s="1"/>
  <c r="AF14" i="31" s="1"/>
  <c r="AF17" i="32" s="1"/>
  <c r="AL8" i="29"/>
  <c r="AK6" i="25" s="1"/>
  <c r="AK25" i="32"/>
  <c r="AK17" i="25"/>
  <c r="AK17" i="27" s="1"/>
  <c r="AK14" i="31" s="1"/>
  <c r="AK17" i="32" s="1"/>
  <c r="AK23" i="31"/>
  <c r="AC17" i="25"/>
  <c r="AC17" i="27" s="1"/>
  <c r="AC14" i="31" s="1"/>
  <c r="AC17" i="32" s="1"/>
  <c r="AD8" i="29"/>
  <c r="AC6" i="25" s="1"/>
  <c r="AC25" i="32"/>
  <c r="AC23" i="31"/>
  <c r="AC21" i="31" s="1"/>
  <c r="K23" i="31"/>
  <c r="L8" i="29"/>
  <c r="K6" i="25" s="1"/>
  <c r="K17" i="25"/>
  <c r="K17" i="27" s="1"/>
  <c r="K14" i="31" s="1"/>
  <c r="K17" i="32" s="1"/>
  <c r="K25" i="32"/>
  <c r="AG25" i="32"/>
  <c r="AG23" i="32" s="1"/>
  <c r="AG23" i="31"/>
  <c r="AG17" i="25"/>
  <c r="AG17" i="27" s="1"/>
  <c r="AG14" i="31" s="1"/>
  <c r="AG17" i="32" s="1"/>
  <c r="AH8" i="29"/>
  <c r="AG6" i="25" s="1"/>
  <c r="Z8" i="29"/>
  <c r="Y6" i="25" s="1"/>
  <c r="Y17" i="25"/>
  <c r="Y17" i="27" s="1"/>
  <c r="Y14" i="31" s="1"/>
  <c r="Y17" i="32" s="1"/>
  <c r="Y25" i="32"/>
  <c r="Y23" i="31"/>
  <c r="AB30" i="32"/>
  <c r="O6" i="25"/>
  <c r="P9" i="29"/>
  <c r="AD30" i="32"/>
  <c r="AL30" i="32"/>
  <c r="W30" i="32"/>
  <c r="AD17" i="27"/>
  <c r="AA17" i="27"/>
  <c r="Z30" i="32"/>
  <c r="I6" i="25"/>
  <c r="J9" i="29"/>
  <c r="AJ30" i="32"/>
  <c r="AK30" i="32"/>
  <c r="X30" i="32"/>
  <c r="Y30" i="32"/>
  <c r="AF30" i="32"/>
  <c r="S30" i="32"/>
  <c r="AJ6" i="25"/>
  <c r="AK9" i="29"/>
  <c r="AH30" i="32"/>
  <c r="T30" i="32"/>
  <c r="L16" i="5"/>
  <c r="L15" i="25" s="1"/>
  <c r="C27" i="50"/>
  <c r="M15" i="25"/>
  <c r="J44" i="50"/>
  <c r="J16" i="5"/>
  <c r="J15" i="27" s="1"/>
  <c r="E16" i="5"/>
  <c r="E58" i="5" s="1"/>
  <c r="E62" i="5" s="1"/>
  <c r="BY21" i="51"/>
  <c r="CH21" i="51"/>
  <c r="CJ9" i="51"/>
  <c r="CA21" i="51"/>
  <c r="CC17" i="51"/>
  <c r="G34" i="50"/>
  <c r="K45" i="50"/>
  <c r="K42" i="50" s="1"/>
  <c r="H16" i="5"/>
  <c r="M11" i="5"/>
  <c r="M14" i="25" s="1"/>
  <c r="D43" i="50"/>
  <c r="D42" i="50" s="1"/>
  <c r="F15" i="27"/>
  <c r="F12" i="31" s="1"/>
  <c r="N11" i="5"/>
  <c r="N14" i="27" s="1"/>
  <c r="L42" i="50"/>
  <c r="G42" i="50"/>
  <c r="M42" i="50"/>
  <c r="D14" i="27"/>
  <c r="D11" i="31" s="1"/>
  <c r="J34" i="50"/>
  <c r="J27" i="50"/>
  <c r="H34" i="50"/>
  <c r="H27" i="50"/>
  <c r="K34" i="50"/>
  <c r="K27" i="50"/>
  <c r="E43" i="50"/>
  <c r="E42" i="50" s="1"/>
  <c r="F11" i="5"/>
  <c r="I34" i="50"/>
  <c r="I27" i="50"/>
  <c r="E14" i="27"/>
  <c r="E14" i="25"/>
  <c r="M12" i="31"/>
  <c r="M15" i="32"/>
  <c r="C45" i="50"/>
  <c r="C42" i="50" s="1"/>
  <c r="D16" i="5"/>
  <c r="M34" i="50"/>
  <c r="M27" i="50"/>
  <c r="J46" i="50"/>
  <c r="K16" i="5"/>
  <c r="H43" i="50"/>
  <c r="I11" i="5"/>
  <c r="I44" i="50"/>
  <c r="I42" i="50" s="1"/>
  <c r="J11" i="5"/>
  <c r="H14" i="27"/>
  <c r="H14" i="25"/>
  <c r="L27" i="50"/>
  <c r="L34" i="50"/>
  <c r="E34" i="50"/>
  <c r="E27" i="50"/>
  <c r="H46" i="50"/>
  <c r="I16" i="5"/>
  <c r="K14" i="25"/>
  <c r="K14" i="27"/>
  <c r="L14" i="27"/>
  <c r="L14" i="25"/>
  <c r="H21" i="31" l="1"/>
  <c r="I72" i="28"/>
  <c r="I9" i="29"/>
  <c r="H27" i="32"/>
  <c r="N211" i="33"/>
  <c r="R171" i="33"/>
  <c r="M211" i="33"/>
  <c r="F211" i="33"/>
  <c r="H211" i="33"/>
  <c r="C211" i="33"/>
  <c r="D211" i="33"/>
  <c r="I211" i="33"/>
  <c r="J211" i="33"/>
  <c r="K19" i="25"/>
  <c r="K16" i="31"/>
  <c r="T31" i="64"/>
  <c r="U31" i="64" s="1"/>
  <c r="N74" i="45" s="1"/>
  <c r="L45" i="5" s="1"/>
  <c r="P18" i="64"/>
  <c r="U29" i="64"/>
  <c r="L74" i="45" s="1"/>
  <c r="J45" i="5" s="1"/>
  <c r="J43" i="5" s="1"/>
  <c r="J19" i="27" s="1"/>
  <c r="J19" i="32" s="1"/>
  <c r="R51" i="33"/>
  <c r="H51" i="33" s="1"/>
  <c r="M92" i="33"/>
  <c r="D92" i="33"/>
  <c r="N19" i="25"/>
  <c r="N19" i="27"/>
  <c r="N16" i="31" s="1"/>
  <c r="AI72" i="28"/>
  <c r="AH21" i="31"/>
  <c r="AH27" i="32"/>
  <c r="AH23" i="32" s="1"/>
  <c r="K23" i="32"/>
  <c r="H16" i="31"/>
  <c r="L211" i="33"/>
  <c r="E211" i="33"/>
  <c r="R91" i="33"/>
  <c r="D91" i="33" s="1"/>
  <c r="G211" i="33"/>
  <c r="R131" i="33"/>
  <c r="E131" i="33" s="1"/>
  <c r="I92" i="33"/>
  <c r="H92" i="33"/>
  <c r="R172" i="33"/>
  <c r="N172" i="33" s="1"/>
  <c r="R52" i="33"/>
  <c r="M52" i="33" s="1"/>
  <c r="K92" i="33"/>
  <c r="R132" i="33"/>
  <c r="K132" i="33" s="1"/>
  <c r="G92" i="33"/>
  <c r="R212" i="33"/>
  <c r="D212" i="33" s="1"/>
  <c r="L92" i="33"/>
  <c r="C92" i="33"/>
  <c r="E92" i="33"/>
  <c r="F92" i="33"/>
  <c r="N92" i="33"/>
  <c r="P19" i="25"/>
  <c r="P19" i="27"/>
  <c r="P19" i="32" s="1"/>
  <c r="G23" i="32"/>
  <c r="Q19" i="25"/>
  <c r="Q19" i="27"/>
  <c r="Q16" i="31" s="1"/>
  <c r="U71" i="45"/>
  <c r="R43" i="5"/>
  <c r="T74" i="45"/>
  <c r="O18" i="64"/>
  <c r="P22" i="64" s="1"/>
  <c r="F17" i="50"/>
  <c r="F15" i="50"/>
  <c r="E21" i="31"/>
  <c r="F21" i="31"/>
  <c r="AI9" i="29"/>
  <c r="H9" i="29"/>
  <c r="I16" i="29"/>
  <c r="J16" i="29" s="1"/>
  <c r="K16" i="29" s="1"/>
  <c r="L16" i="29" s="1"/>
  <c r="M16" i="29" s="1"/>
  <c r="N16" i="29" s="1"/>
  <c r="O16" i="29" s="1"/>
  <c r="P16" i="29" s="1"/>
  <c r="Q16" i="29" s="1"/>
  <c r="R16" i="29" s="1"/>
  <c r="S16" i="29" s="1"/>
  <c r="T16" i="29" s="1"/>
  <c r="U16" i="29" s="1"/>
  <c r="V16" i="29" s="1"/>
  <c r="W16" i="29" s="1"/>
  <c r="X16" i="29" s="1"/>
  <c r="Y16" i="29" s="1"/>
  <c r="Z16" i="29" s="1"/>
  <c r="AA16" i="29" s="1"/>
  <c r="AB16" i="29" s="1"/>
  <c r="AC16" i="29" s="1"/>
  <c r="AD16" i="29" s="1"/>
  <c r="AE16" i="29" s="1"/>
  <c r="AF16" i="29" s="1"/>
  <c r="AG16" i="29" s="1"/>
  <c r="AH16" i="29" s="1"/>
  <c r="AI16" i="29" s="1"/>
  <c r="AJ16" i="29" s="1"/>
  <c r="AK16" i="29" s="1"/>
  <c r="AL16" i="29" s="1"/>
  <c r="AF23" i="32"/>
  <c r="AF9" i="29"/>
  <c r="AF72" i="28"/>
  <c r="AE27" i="32"/>
  <c r="AE23" i="32" s="1"/>
  <c r="N9" i="29"/>
  <c r="M21" i="31"/>
  <c r="Y21" i="31"/>
  <c r="AM72" i="28"/>
  <c r="Q72" i="28"/>
  <c r="AL21" i="31"/>
  <c r="P25" i="31"/>
  <c r="P21" i="31" s="1"/>
  <c r="AL27" i="32"/>
  <c r="AL23" i="32" s="1"/>
  <c r="N6" i="25"/>
  <c r="N6" i="27" s="1"/>
  <c r="T13" i="32"/>
  <c r="C13" i="32" s="1"/>
  <c r="C13" i="27"/>
  <c r="Q21" i="31"/>
  <c r="Q27" i="32"/>
  <c r="Q23" i="32" s="1"/>
  <c r="R72" i="28"/>
  <c r="D11" i="35"/>
  <c r="E11" i="35" s="1"/>
  <c r="F11" i="35" s="1"/>
  <c r="AJ21" i="31"/>
  <c r="AM9" i="29"/>
  <c r="P23" i="32"/>
  <c r="D16" i="40"/>
  <c r="D17" i="40" s="1"/>
  <c r="D18" i="40" s="1"/>
  <c r="D19" i="40" s="1"/>
  <c r="D20" i="40" s="1"/>
  <c r="AB27" i="32"/>
  <c r="AB23" i="32" s="1"/>
  <c r="C13" i="25"/>
  <c r="Y23" i="32"/>
  <c r="D25" i="31"/>
  <c r="D44" i="28"/>
  <c r="D7" i="29"/>
  <c r="E72" i="28"/>
  <c r="D11" i="34"/>
  <c r="E11" i="34" s="1"/>
  <c r="F11" i="34" s="1"/>
  <c r="G11" i="34" s="1"/>
  <c r="H11" i="34" s="1"/>
  <c r="I11" i="34" s="1"/>
  <c r="J11" i="34" s="1"/>
  <c r="K11" i="34" s="1"/>
  <c r="L11" i="34" s="1"/>
  <c r="M11" i="34" s="1"/>
  <c r="N11" i="34" s="1"/>
  <c r="O11" i="34" s="1"/>
  <c r="P11" i="34" s="1"/>
  <c r="Q11" i="34" s="1"/>
  <c r="R11" i="34" s="1"/>
  <c r="S11" i="34" s="1"/>
  <c r="T11" i="34" s="1"/>
  <c r="U11" i="34" s="1"/>
  <c r="V11" i="34" s="1"/>
  <c r="W11" i="34" s="1"/>
  <c r="X11" i="34" s="1"/>
  <c r="Y11" i="34" s="1"/>
  <c r="Z11" i="34" s="1"/>
  <c r="AA11" i="34" s="1"/>
  <c r="AB11" i="34" s="1"/>
  <c r="K9" i="29"/>
  <c r="U9" i="29"/>
  <c r="G21" i="31"/>
  <c r="AB21" i="31"/>
  <c r="T23" i="32"/>
  <c r="D66" i="29" a="1"/>
  <c r="D99" i="29" s="1"/>
  <c r="AL99" i="29" s="1"/>
  <c r="S23" i="32"/>
  <c r="V21" i="31"/>
  <c r="AI23" i="32"/>
  <c r="AL6" i="25"/>
  <c r="AL6" i="27" s="1"/>
  <c r="AK21" i="31"/>
  <c r="J23" i="32"/>
  <c r="Z21" i="31"/>
  <c r="AA6" i="25"/>
  <c r="AA6" i="27" s="1"/>
  <c r="R21" i="31"/>
  <c r="AI6" i="25"/>
  <c r="AI6" i="27" s="1"/>
  <c r="H6" i="25"/>
  <c r="H6" i="27" s="1"/>
  <c r="L6" i="25"/>
  <c r="L6" i="27" s="1"/>
  <c r="F23" i="32"/>
  <c r="R23" i="32"/>
  <c r="S6" i="25"/>
  <c r="S6" i="27" s="1"/>
  <c r="AA23" i="32"/>
  <c r="X9" i="29"/>
  <c r="AC23" i="32"/>
  <c r="AA21" i="31"/>
  <c r="F37" i="50"/>
  <c r="F30" i="50"/>
  <c r="G18" i="5" s="1"/>
  <c r="F29" i="50"/>
  <c r="G15" i="5" s="1"/>
  <c r="F36" i="50"/>
  <c r="O16" i="31"/>
  <c r="O19" i="32"/>
  <c r="I43" i="5"/>
  <c r="F14" i="50"/>
  <c r="F31" i="50"/>
  <c r="G21" i="5" s="1"/>
  <c r="F38" i="50"/>
  <c r="G6" i="25"/>
  <c r="G6" i="27" s="1"/>
  <c r="AC9" i="29"/>
  <c r="X21" i="31"/>
  <c r="K21" i="31"/>
  <c r="AK23" i="32"/>
  <c r="U21" i="31"/>
  <c r="O23" i="32"/>
  <c r="H23" i="32"/>
  <c r="AD23" i="32"/>
  <c r="AF21" i="31"/>
  <c r="AG21" i="31"/>
  <c r="AD6" i="25"/>
  <c r="AD6" i="27" s="1"/>
  <c r="R53" i="33"/>
  <c r="C53" i="33" s="1"/>
  <c r="R93" i="33"/>
  <c r="I93" i="33" s="1"/>
  <c r="H170" i="33"/>
  <c r="U6" i="25"/>
  <c r="U6" i="27" s="1"/>
  <c r="N133" i="33"/>
  <c r="E133" i="33"/>
  <c r="M133" i="33"/>
  <c r="D133" i="33"/>
  <c r="I133" i="33"/>
  <c r="L133" i="33"/>
  <c r="J133" i="33"/>
  <c r="K133" i="33"/>
  <c r="G133" i="33"/>
  <c r="C133" i="33"/>
  <c r="F133" i="33"/>
  <c r="H133" i="33"/>
  <c r="C25" i="32"/>
  <c r="R9" i="29"/>
  <c r="C23" i="31"/>
  <c r="Y9" i="29"/>
  <c r="R173" i="33"/>
  <c r="R213" i="33"/>
  <c r="R54" i="33"/>
  <c r="R174" i="33"/>
  <c r="R94" i="33"/>
  <c r="R134" i="33"/>
  <c r="R214" i="33"/>
  <c r="K210" i="33"/>
  <c r="C210" i="33"/>
  <c r="E210" i="33"/>
  <c r="AL9" i="29"/>
  <c r="I21" i="31"/>
  <c r="N21" i="31"/>
  <c r="G170" i="33"/>
  <c r="D170" i="33"/>
  <c r="F52" i="33"/>
  <c r="J170" i="33"/>
  <c r="N170" i="33"/>
  <c r="F170" i="33"/>
  <c r="E170" i="33"/>
  <c r="K170" i="33"/>
  <c r="C170" i="33"/>
  <c r="M170" i="33"/>
  <c r="I170" i="33"/>
  <c r="M210" i="33"/>
  <c r="L210" i="33"/>
  <c r="G210" i="33"/>
  <c r="H210" i="33"/>
  <c r="F210" i="33"/>
  <c r="N210" i="33"/>
  <c r="D171" i="33"/>
  <c r="E171" i="33"/>
  <c r="H171" i="33"/>
  <c r="J171" i="33"/>
  <c r="C171" i="33"/>
  <c r="L171" i="33"/>
  <c r="M171" i="33"/>
  <c r="N171" i="33"/>
  <c r="G171" i="33"/>
  <c r="F171" i="33"/>
  <c r="I171" i="33"/>
  <c r="K171" i="33"/>
  <c r="D210" i="33"/>
  <c r="I210" i="33"/>
  <c r="K169" i="33"/>
  <c r="E169" i="33"/>
  <c r="C169" i="33"/>
  <c r="M169" i="33"/>
  <c r="G169" i="33"/>
  <c r="L169" i="33"/>
  <c r="D169" i="33"/>
  <c r="J169" i="33"/>
  <c r="N169" i="33"/>
  <c r="F169" i="33"/>
  <c r="I169" i="33"/>
  <c r="H169" i="33"/>
  <c r="J49" i="33"/>
  <c r="L49" i="33"/>
  <c r="G49" i="33"/>
  <c r="E49" i="33"/>
  <c r="K49" i="33"/>
  <c r="C49" i="33"/>
  <c r="I49" i="33"/>
  <c r="N49" i="33"/>
  <c r="M49" i="33"/>
  <c r="H49" i="33"/>
  <c r="F49" i="33"/>
  <c r="D49" i="33"/>
  <c r="I130" i="33"/>
  <c r="E130" i="33"/>
  <c r="H130" i="33"/>
  <c r="M130" i="33"/>
  <c r="C130" i="33"/>
  <c r="F130" i="33"/>
  <c r="D130" i="33"/>
  <c r="K130" i="33"/>
  <c r="L130" i="33"/>
  <c r="J130" i="33"/>
  <c r="G130" i="33"/>
  <c r="N130" i="33"/>
  <c r="L129" i="33"/>
  <c r="I129" i="33"/>
  <c r="M129" i="33"/>
  <c r="D129" i="33"/>
  <c r="J129" i="33"/>
  <c r="C129" i="33"/>
  <c r="K129" i="33"/>
  <c r="G129" i="33"/>
  <c r="H129" i="33"/>
  <c r="F129" i="33"/>
  <c r="E129" i="33"/>
  <c r="N129" i="33"/>
  <c r="K209" i="33"/>
  <c r="D209" i="33"/>
  <c r="N209" i="33"/>
  <c r="G209" i="33"/>
  <c r="L209" i="33"/>
  <c r="C209" i="33"/>
  <c r="H209" i="33"/>
  <c r="M209" i="33"/>
  <c r="F209" i="33"/>
  <c r="I209" i="33"/>
  <c r="E209" i="33"/>
  <c r="J209" i="33"/>
  <c r="L90" i="33"/>
  <c r="F90" i="33"/>
  <c r="J90" i="33"/>
  <c r="H90" i="33"/>
  <c r="N90" i="33"/>
  <c r="C90" i="33"/>
  <c r="M90" i="33"/>
  <c r="I90" i="33"/>
  <c r="K90" i="33"/>
  <c r="G90" i="33"/>
  <c r="E90" i="33"/>
  <c r="D90" i="33"/>
  <c r="L89" i="33"/>
  <c r="K89" i="33"/>
  <c r="J89" i="33"/>
  <c r="F89" i="33"/>
  <c r="E89" i="33"/>
  <c r="H89" i="33"/>
  <c r="I89" i="33"/>
  <c r="G89" i="33"/>
  <c r="M89" i="33"/>
  <c r="D89" i="33"/>
  <c r="C89" i="33"/>
  <c r="N89" i="33"/>
  <c r="H50" i="33"/>
  <c r="I50" i="33"/>
  <c r="F50" i="33"/>
  <c r="M50" i="33"/>
  <c r="K50" i="33"/>
  <c r="L50" i="33"/>
  <c r="J50" i="33"/>
  <c r="E50" i="33"/>
  <c r="N50" i="33"/>
  <c r="G50" i="33"/>
  <c r="D50" i="33"/>
  <c r="C50" i="33"/>
  <c r="AD9" i="29"/>
  <c r="AG9" i="29"/>
  <c r="D8" i="29"/>
  <c r="D4" i="29"/>
  <c r="D22" i="31"/>
  <c r="D8" i="34"/>
  <c r="D6" i="25"/>
  <c r="D6" i="27" s="1"/>
  <c r="D17" i="25"/>
  <c r="D24" i="32"/>
  <c r="D8" i="35"/>
  <c r="E9" i="29"/>
  <c r="C9" i="4" s="1"/>
  <c r="E61" i="5"/>
  <c r="E15" i="27"/>
  <c r="E12" i="31" s="1"/>
  <c r="C10" i="31"/>
  <c r="K6" i="27"/>
  <c r="AC6" i="27"/>
  <c r="P6" i="27"/>
  <c r="Y6" i="27"/>
  <c r="AG6" i="27"/>
  <c r="L9" i="29"/>
  <c r="Z9" i="29"/>
  <c r="AH9" i="29"/>
  <c r="AK6" i="27"/>
  <c r="AF6" i="27"/>
  <c r="Q9" i="29"/>
  <c r="X6" i="27"/>
  <c r="AJ6" i="27"/>
  <c r="O14" i="31"/>
  <c r="O17" i="32" s="1"/>
  <c r="AI14" i="31"/>
  <c r="AI17" i="32" s="1"/>
  <c r="AJ14" i="31"/>
  <c r="AJ17" i="32" s="1"/>
  <c r="AL14" i="31"/>
  <c r="AL17" i="32" s="1"/>
  <c r="AD14" i="31"/>
  <c r="AD17" i="32" s="1"/>
  <c r="Q6" i="27"/>
  <c r="T14" i="31"/>
  <c r="T17" i="32" s="1"/>
  <c r="U14" i="31"/>
  <c r="U17" i="32" s="1"/>
  <c r="E17" i="32"/>
  <c r="AE6" i="27"/>
  <c r="S14" i="31"/>
  <c r="S17" i="32" s="1"/>
  <c r="AA14" i="31"/>
  <c r="AA17" i="32" s="1"/>
  <c r="J6" i="27"/>
  <c r="T6" i="27"/>
  <c r="I6" i="27"/>
  <c r="AE14" i="31"/>
  <c r="AE17" i="32" s="1"/>
  <c r="O6" i="27"/>
  <c r="Q14" i="31"/>
  <c r="Q17" i="32" s="1"/>
  <c r="L15" i="27"/>
  <c r="L12" i="31" s="1"/>
  <c r="E15" i="25"/>
  <c r="J42" i="50"/>
  <c r="J15" i="25"/>
  <c r="M14" i="27"/>
  <c r="F15" i="32"/>
  <c r="N14" i="25"/>
  <c r="CL9" i="51"/>
  <c r="CJ21" i="51"/>
  <c r="E36" i="51"/>
  <c r="CC21" i="51"/>
  <c r="H15" i="25"/>
  <c r="H15" i="27"/>
  <c r="D14" i="32"/>
  <c r="J14" i="25"/>
  <c r="J14" i="27"/>
  <c r="K15" i="27"/>
  <c r="K15" i="25"/>
  <c r="D15" i="25"/>
  <c r="D15" i="27"/>
  <c r="D58" i="5"/>
  <c r="D61" i="5"/>
  <c r="L11" i="31"/>
  <c r="L14" i="32"/>
  <c r="H14" i="32"/>
  <c r="H11" i="31"/>
  <c r="I14" i="27"/>
  <c r="I14" i="25"/>
  <c r="N14" i="32"/>
  <c r="N11" i="31"/>
  <c r="E14" i="32"/>
  <c r="E11" i="31"/>
  <c r="K14" i="32"/>
  <c r="K11" i="31"/>
  <c r="I15" i="27"/>
  <c r="I15" i="25"/>
  <c r="J15" i="32"/>
  <c r="J12" i="31"/>
  <c r="H42" i="50"/>
  <c r="F14" i="27"/>
  <c r="F61" i="5"/>
  <c r="F14" i="25"/>
  <c r="F58" i="5"/>
  <c r="F62" i="5" s="1"/>
  <c r="C52" i="33" l="1"/>
  <c r="I52" i="33"/>
  <c r="D52" i="33"/>
  <c r="L52" i="33"/>
  <c r="N52" i="33"/>
  <c r="E51" i="33"/>
  <c r="F51" i="33"/>
  <c r="G51" i="33"/>
  <c r="J19" i="25"/>
  <c r="I51" i="33"/>
  <c r="J51" i="33"/>
  <c r="E52" i="33"/>
  <c r="D51" i="33"/>
  <c r="C51" i="33"/>
  <c r="M51" i="33"/>
  <c r="K51" i="33"/>
  <c r="L51" i="33"/>
  <c r="N51" i="33"/>
  <c r="Q19" i="32"/>
  <c r="N19" i="32"/>
  <c r="U36" i="64"/>
  <c r="P20" i="64"/>
  <c r="K52" i="33"/>
  <c r="J52" i="33"/>
  <c r="H52" i="33"/>
  <c r="G52" i="33"/>
  <c r="G172" i="33"/>
  <c r="K91" i="33"/>
  <c r="O211" i="33"/>
  <c r="I132" i="33"/>
  <c r="M91" i="33"/>
  <c r="N132" i="33"/>
  <c r="N91" i="33"/>
  <c r="G91" i="33"/>
  <c r="J16" i="31"/>
  <c r="J91" i="33"/>
  <c r="L91" i="33"/>
  <c r="C132" i="33"/>
  <c r="P16" i="31"/>
  <c r="I91" i="33"/>
  <c r="H91" i="33"/>
  <c r="M132" i="33"/>
  <c r="F91" i="33"/>
  <c r="H132" i="33"/>
  <c r="L132" i="33"/>
  <c r="C91" i="33"/>
  <c r="G132" i="33"/>
  <c r="F132" i="33"/>
  <c r="E91" i="33"/>
  <c r="J132" i="33"/>
  <c r="D132" i="33"/>
  <c r="E132" i="33"/>
  <c r="K131" i="33"/>
  <c r="C131" i="33"/>
  <c r="K212" i="33"/>
  <c r="F131" i="33"/>
  <c r="L131" i="33"/>
  <c r="G131" i="33"/>
  <c r="M131" i="33"/>
  <c r="N131" i="33"/>
  <c r="D131" i="33"/>
  <c r="J131" i="33"/>
  <c r="I131" i="33"/>
  <c r="H131" i="33"/>
  <c r="H172" i="33"/>
  <c r="L172" i="33"/>
  <c r="M172" i="33"/>
  <c r="D172" i="33"/>
  <c r="O92" i="33"/>
  <c r="J172" i="33"/>
  <c r="C172" i="33"/>
  <c r="K172" i="33"/>
  <c r="E172" i="33"/>
  <c r="F172" i="33"/>
  <c r="I172" i="33"/>
  <c r="L212" i="33"/>
  <c r="H212" i="33"/>
  <c r="N212" i="33"/>
  <c r="G212" i="33"/>
  <c r="C212" i="33"/>
  <c r="J212" i="33"/>
  <c r="I212" i="33"/>
  <c r="F212" i="33"/>
  <c r="E212" i="33"/>
  <c r="M212" i="33"/>
  <c r="R19" i="27"/>
  <c r="R19" i="25"/>
  <c r="V71" i="45"/>
  <c r="S43" i="5"/>
  <c r="U74" i="45"/>
  <c r="M43" i="5"/>
  <c r="C25" i="31"/>
  <c r="AM16" i="29"/>
  <c r="D16" i="29" s="1"/>
  <c r="C27" i="32"/>
  <c r="D72" i="28"/>
  <c r="P19" i="40"/>
  <c r="R178" i="33" s="1"/>
  <c r="P17" i="40"/>
  <c r="R176" i="33" s="1"/>
  <c r="H176" i="33" s="1"/>
  <c r="P18" i="40"/>
  <c r="R97" i="33" s="1"/>
  <c r="J97" i="33" s="1"/>
  <c r="P16" i="40"/>
  <c r="R95" i="33" s="1"/>
  <c r="I95" i="33" s="1"/>
  <c r="AC11" i="34"/>
  <c r="AD11" i="34" s="1"/>
  <c r="AE11" i="34" s="1"/>
  <c r="AF11" i="34" s="1"/>
  <c r="AG11" i="34" s="1"/>
  <c r="AH11" i="34" s="1"/>
  <c r="AI11" i="34" s="1"/>
  <c r="AJ11" i="34" s="1"/>
  <c r="AK11" i="34" s="1"/>
  <c r="AL11" i="34" s="1"/>
  <c r="D67" i="29"/>
  <c r="G67" i="29" s="1"/>
  <c r="H67" i="29" s="1"/>
  <c r="I67" i="29" s="1"/>
  <c r="J67" i="29" s="1"/>
  <c r="D85" i="29"/>
  <c r="Y85" i="29" s="1"/>
  <c r="Z85" i="29" s="1"/>
  <c r="AA85" i="29" s="1"/>
  <c r="AB85" i="29" s="1"/>
  <c r="D94" i="29"/>
  <c r="AH94" i="29" s="1"/>
  <c r="AI94" i="29" s="1"/>
  <c r="AJ94" i="29" s="1"/>
  <c r="AK94" i="29" s="1"/>
  <c r="D73" i="29"/>
  <c r="L73" i="29" s="1"/>
  <c r="D96" i="29"/>
  <c r="AJ96" i="29" s="1"/>
  <c r="AK96" i="29" s="1"/>
  <c r="AL96" i="29" s="1"/>
  <c r="AM96" i="29" s="1"/>
  <c r="D81" i="29"/>
  <c r="Y81" i="29" s="1"/>
  <c r="D70" i="29"/>
  <c r="N70" i="29" s="1"/>
  <c r="D97" i="29"/>
  <c r="AJ97" i="29" s="1"/>
  <c r="D89" i="29"/>
  <c r="AC89" i="29" s="1"/>
  <c r="AD89" i="29" s="1"/>
  <c r="AE89" i="29" s="1"/>
  <c r="AF89" i="29" s="1"/>
  <c r="AM99" i="29"/>
  <c r="AN99" i="29" s="1"/>
  <c r="AO99" i="29" s="1"/>
  <c r="D92" i="29"/>
  <c r="AE92" i="29" s="1"/>
  <c r="D78" i="29"/>
  <c r="R78" i="29" s="1"/>
  <c r="S78" i="29" s="1"/>
  <c r="T78" i="29" s="1"/>
  <c r="U78" i="29" s="1"/>
  <c r="D68" i="29"/>
  <c r="L68" i="29" s="1"/>
  <c r="D66" i="29"/>
  <c r="E66" i="29" s="1"/>
  <c r="E101" i="29" s="1"/>
  <c r="E15" i="29" s="1"/>
  <c r="D72" i="29"/>
  <c r="P72" i="29" s="1"/>
  <c r="D82" i="29"/>
  <c r="Z82" i="29" s="1"/>
  <c r="D71" i="29"/>
  <c r="K71" i="29" s="1"/>
  <c r="L71" i="29" s="1"/>
  <c r="M71" i="29" s="1"/>
  <c r="N71" i="29" s="1"/>
  <c r="D83" i="29"/>
  <c r="W83" i="29" s="1"/>
  <c r="X83" i="29" s="1"/>
  <c r="Y83" i="29" s="1"/>
  <c r="Z83" i="29" s="1"/>
  <c r="D95" i="29"/>
  <c r="AH95" i="29" s="1"/>
  <c r="D76" i="29"/>
  <c r="P76" i="29" s="1"/>
  <c r="Q76" i="29" s="1"/>
  <c r="R76" i="29" s="1"/>
  <c r="S76" i="29" s="1"/>
  <c r="D93" i="29"/>
  <c r="AK93" i="29" s="1"/>
  <c r="D75" i="29"/>
  <c r="N75" i="29" s="1"/>
  <c r="D100" i="29"/>
  <c r="AM100" i="29" s="1"/>
  <c r="AN100" i="29" s="1"/>
  <c r="AO100" i="29" s="1"/>
  <c r="D69" i="29"/>
  <c r="H69" i="29" s="1"/>
  <c r="D90" i="29"/>
  <c r="AC90" i="29" s="1"/>
  <c r="D91" i="29"/>
  <c r="AI91" i="29" s="1"/>
  <c r="D80" i="29"/>
  <c r="X80" i="29" s="1"/>
  <c r="D79" i="29"/>
  <c r="S79" i="29" s="1"/>
  <c r="T79" i="29" s="1"/>
  <c r="U79" i="29" s="1"/>
  <c r="V79" i="29" s="1"/>
  <c r="D88" i="29"/>
  <c r="AF88" i="29" s="1"/>
  <c r="D74" i="29"/>
  <c r="M74" i="29" s="1"/>
  <c r="D84" i="29"/>
  <c r="W84" i="29" s="1"/>
  <c r="D87" i="29"/>
  <c r="AE87" i="29" s="1"/>
  <c r="D77" i="29"/>
  <c r="P77" i="29" s="1"/>
  <c r="D86" i="29"/>
  <c r="AD86" i="29" s="1"/>
  <c r="D98" i="29"/>
  <c r="AL98" i="29" s="1"/>
  <c r="AM98" i="29" s="1"/>
  <c r="F46" i="50"/>
  <c r="C21" i="5"/>
  <c r="F28" i="50"/>
  <c r="G13" i="5" s="1"/>
  <c r="F35" i="50"/>
  <c r="F13" i="50"/>
  <c r="F44" i="50"/>
  <c r="C15" i="5"/>
  <c r="I19" i="27"/>
  <c r="I19" i="25"/>
  <c r="G16" i="5"/>
  <c r="C18" i="5"/>
  <c r="F45" i="50"/>
  <c r="E15" i="32"/>
  <c r="C93" i="33"/>
  <c r="F93" i="33"/>
  <c r="G93" i="33"/>
  <c r="K53" i="33"/>
  <c r="H53" i="33"/>
  <c r="E93" i="33"/>
  <c r="K93" i="33"/>
  <c r="F53" i="33"/>
  <c r="M53" i="33"/>
  <c r="D53" i="33"/>
  <c r="N53" i="33"/>
  <c r="L93" i="33"/>
  <c r="J53" i="33"/>
  <c r="D93" i="33"/>
  <c r="H93" i="33"/>
  <c r="J93" i="33"/>
  <c r="M93" i="33"/>
  <c r="N93" i="33"/>
  <c r="I53" i="33"/>
  <c r="L53" i="33"/>
  <c r="E53" i="33"/>
  <c r="G53" i="33"/>
  <c r="O133" i="33"/>
  <c r="F10" i="33"/>
  <c r="C6" i="25"/>
  <c r="N213" i="33"/>
  <c r="E213" i="33"/>
  <c r="H213" i="33"/>
  <c r="I213" i="33"/>
  <c r="L213" i="33"/>
  <c r="M213" i="33"/>
  <c r="C213" i="33"/>
  <c r="F213" i="33"/>
  <c r="G213" i="33"/>
  <c r="J213" i="33"/>
  <c r="K213" i="33"/>
  <c r="D213" i="33"/>
  <c r="L173" i="33"/>
  <c r="C173" i="33"/>
  <c r="M173" i="33"/>
  <c r="G173" i="33"/>
  <c r="E173" i="33"/>
  <c r="K173" i="33"/>
  <c r="F173" i="33"/>
  <c r="D173" i="33"/>
  <c r="J173" i="33"/>
  <c r="H173" i="33"/>
  <c r="N173" i="33"/>
  <c r="I173" i="33"/>
  <c r="D134" i="33"/>
  <c r="K134" i="33"/>
  <c r="G134" i="33"/>
  <c r="E134" i="33"/>
  <c r="F134" i="33"/>
  <c r="I134" i="33"/>
  <c r="J134" i="33"/>
  <c r="H134" i="33"/>
  <c r="M134" i="33"/>
  <c r="L134" i="33"/>
  <c r="C134" i="33"/>
  <c r="N134" i="33"/>
  <c r="G94" i="33"/>
  <c r="L94" i="33"/>
  <c r="F94" i="33"/>
  <c r="K94" i="33"/>
  <c r="E94" i="33"/>
  <c r="J94" i="33"/>
  <c r="D94" i="33"/>
  <c r="I94" i="33"/>
  <c r="N94" i="33"/>
  <c r="C94" i="33"/>
  <c r="H94" i="33"/>
  <c r="M94" i="33"/>
  <c r="M174" i="33"/>
  <c r="J174" i="33"/>
  <c r="N174" i="33"/>
  <c r="E174" i="33"/>
  <c r="I174" i="33"/>
  <c r="H174" i="33"/>
  <c r="L174" i="33"/>
  <c r="C174" i="33"/>
  <c r="K174" i="33"/>
  <c r="F174" i="33"/>
  <c r="G174" i="33"/>
  <c r="D174" i="33"/>
  <c r="I214" i="33"/>
  <c r="K214" i="33"/>
  <c r="M214" i="33"/>
  <c r="C214" i="33"/>
  <c r="D214" i="33"/>
  <c r="N214" i="33"/>
  <c r="J214" i="33"/>
  <c r="L214" i="33"/>
  <c r="F214" i="33"/>
  <c r="E214" i="33"/>
  <c r="G214" i="33"/>
  <c r="H214" i="33"/>
  <c r="H54" i="33"/>
  <c r="D54" i="33"/>
  <c r="F54" i="33"/>
  <c r="N54" i="33"/>
  <c r="J54" i="33"/>
  <c r="M54" i="33"/>
  <c r="G54" i="33"/>
  <c r="E54" i="33"/>
  <c r="C54" i="33"/>
  <c r="K54" i="33"/>
  <c r="I54" i="33"/>
  <c r="L54" i="33"/>
  <c r="O210" i="33"/>
  <c r="J10" i="33"/>
  <c r="O170" i="33"/>
  <c r="E10" i="33"/>
  <c r="M10" i="33"/>
  <c r="D10" i="33"/>
  <c r="I10" i="33"/>
  <c r="H10" i="33"/>
  <c r="G10" i="33"/>
  <c r="O171" i="33"/>
  <c r="L10" i="33"/>
  <c r="N10" i="33"/>
  <c r="K10" i="33"/>
  <c r="O90" i="33"/>
  <c r="O49" i="33"/>
  <c r="C9" i="33"/>
  <c r="L9" i="33"/>
  <c r="O50" i="33"/>
  <c r="M9" i="33"/>
  <c r="K9" i="33"/>
  <c r="J9" i="33"/>
  <c r="O169" i="33"/>
  <c r="O130" i="33"/>
  <c r="D9" i="33"/>
  <c r="N9" i="33"/>
  <c r="E9" i="33"/>
  <c r="H9" i="33"/>
  <c r="C10" i="33"/>
  <c r="O89" i="33"/>
  <c r="O209" i="33"/>
  <c r="O129" i="33"/>
  <c r="F9" i="33"/>
  <c r="I9" i="33"/>
  <c r="G9" i="33"/>
  <c r="D21" i="40"/>
  <c r="P20" i="40"/>
  <c r="C24" i="32"/>
  <c r="D23" i="32"/>
  <c r="C23" i="32" s="1"/>
  <c r="C22" i="31"/>
  <c r="D21" i="31"/>
  <c r="C21" i="31" s="1"/>
  <c r="E9" i="4"/>
  <c r="E10" i="4" s="1"/>
  <c r="C10" i="4"/>
  <c r="D17" i="27"/>
  <c r="C17" i="25"/>
  <c r="E9" i="34"/>
  <c r="E9" i="35"/>
  <c r="D7" i="35"/>
  <c r="E8" i="35"/>
  <c r="E8" i="34"/>
  <c r="D7" i="34"/>
  <c r="L15" i="32"/>
  <c r="D9" i="29"/>
  <c r="G11" i="35"/>
  <c r="C6" i="27"/>
  <c r="M14" i="32"/>
  <c r="M11" i="31"/>
  <c r="CL21" i="51"/>
  <c r="E37" i="51"/>
  <c r="G35" i="51" s="1" a="1"/>
  <c r="H12" i="31"/>
  <c r="H15" i="32"/>
  <c r="D62" i="5"/>
  <c r="D15" i="32"/>
  <c r="D12" i="31"/>
  <c r="J11" i="31"/>
  <c r="J14" i="32"/>
  <c r="F11" i="31"/>
  <c r="F14" i="32"/>
  <c r="I15" i="32"/>
  <c r="I12" i="31"/>
  <c r="I14" i="32"/>
  <c r="I11" i="31"/>
  <c r="K15" i="32"/>
  <c r="K12" i="31"/>
  <c r="E11" i="33" l="1"/>
  <c r="O51" i="33"/>
  <c r="F11" i="33"/>
  <c r="I11" i="33"/>
  <c r="O52" i="33"/>
  <c r="M11" i="33"/>
  <c r="J11" i="33"/>
  <c r="K11" i="33"/>
  <c r="L11" i="33"/>
  <c r="K12" i="33"/>
  <c r="N12" i="33"/>
  <c r="G12" i="33"/>
  <c r="L12" i="33"/>
  <c r="N11" i="33"/>
  <c r="J12" i="33"/>
  <c r="G11" i="33"/>
  <c r="C11" i="33"/>
  <c r="O132" i="33"/>
  <c r="O91" i="33"/>
  <c r="C12" i="33"/>
  <c r="H11" i="33"/>
  <c r="E12" i="33"/>
  <c r="D12" i="33"/>
  <c r="H12" i="33"/>
  <c r="M12" i="33"/>
  <c r="O131" i="33"/>
  <c r="D11" i="33"/>
  <c r="O172" i="33"/>
  <c r="O212" i="33"/>
  <c r="I12" i="33"/>
  <c r="F12" i="33"/>
  <c r="S19" i="25"/>
  <c r="S19" i="27"/>
  <c r="W71" i="45"/>
  <c r="T43" i="5"/>
  <c r="V74" i="45"/>
  <c r="R16" i="31"/>
  <c r="R19" i="32"/>
  <c r="M19" i="27"/>
  <c r="M19" i="25"/>
  <c r="L43" i="5"/>
  <c r="G35" i="51"/>
  <c r="D7" i="31" s="1" a="1"/>
  <c r="D7" i="31" s="1"/>
  <c r="S7" i="31" a="1"/>
  <c r="S7" i="31" s="1"/>
  <c r="AA7" i="31" a="1"/>
  <c r="AA7" i="31" s="1"/>
  <c r="AB7" i="31" a="1"/>
  <c r="AB7" i="31" s="1"/>
  <c r="Z7" i="31" a="1"/>
  <c r="Z7" i="31" s="1"/>
  <c r="L7" i="31" a="1"/>
  <c r="L7" i="31" s="1"/>
  <c r="F7" i="31" a="1"/>
  <c r="F7" i="31" s="1"/>
  <c r="G7" i="31" a="1"/>
  <c r="G7" i="31" s="1"/>
  <c r="H7" i="31" a="1"/>
  <c r="H7" i="31" s="1"/>
  <c r="AG7" i="31" a="1"/>
  <c r="AG7" i="31" s="1"/>
  <c r="T7" i="31" a="1"/>
  <c r="T7" i="31" s="1"/>
  <c r="N7" i="31" a="1"/>
  <c r="N7" i="31" s="1"/>
  <c r="O7" i="31" a="1"/>
  <c r="O7" i="31" s="1"/>
  <c r="P7" i="31" a="1"/>
  <c r="P7" i="31" s="1"/>
  <c r="AH7" i="31" a="1"/>
  <c r="AH7" i="31" s="1"/>
  <c r="E7" i="31" a="1"/>
  <c r="E7" i="31" s="1"/>
  <c r="V7" i="31" a="1"/>
  <c r="V7" i="31" s="1"/>
  <c r="W7" i="31" a="1"/>
  <c r="W7" i="31" s="1"/>
  <c r="X7" i="31" a="1"/>
  <c r="X7" i="31" s="1"/>
  <c r="M7" i="31" a="1"/>
  <c r="M7" i="31" s="1"/>
  <c r="AC7" i="31" a="1"/>
  <c r="AC7" i="31" s="1"/>
  <c r="AD7" i="31" a="1"/>
  <c r="AD7" i="31" s="1"/>
  <c r="AE7" i="31" a="1"/>
  <c r="AE7" i="31" s="1"/>
  <c r="U7" i="31" a="1"/>
  <c r="U7" i="31" s="1"/>
  <c r="AJ7" i="31" a="1"/>
  <c r="AJ7" i="31" s="1"/>
  <c r="Q7" i="31" a="1"/>
  <c r="Q7" i="31" s="1"/>
  <c r="AK7" i="31" a="1"/>
  <c r="AK7" i="31" s="1"/>
  <c r="AI7" i="31" a="1"/>
  <c r="AI7" i="31" s="1"/>
  <c r="Y7" i="31" a="1"/>
  <c r="Y7" i="31" s="1"/>
  <c r="AL7" i="31" a="1"/>
  <c r="AL7" i="31" s="1"/>
  <c r="I7" i="31" a="1"/>
  <c r="I7" i="31" s="1"/>
  <c r="R7" i="31" a="1"/>
  <c r="R7" i="31" s="1"/>
  <c r="J7" i="31" a="1"/>
  <c r="J7" i="31" s="1"/>
  <c r="K7" i="31" a="1"/>
  <c r="K7" i="31" s="1"/>
  <c r="AF7" i="31" a="1"/>
  <c r="AF7" i="31" s="1"/>
  <c r="Y86" i="29"/>
  <c r="R58" i="33"/>
  <c r="K58" i="33" s="1"/>
  <c r="M97" i="33"/>
  <c r="AM95" i="29"/>
  <c r="AF92" i="29"/>
  <c r="AG92" i="29" s="1"/>
  <c r="AH92" i="29" s="1"/>
  <c r="AI92" i="29" s="1"/>
  <c r="AA83" i="29"/>
  <c r="K67" i="29"/>
  <c r="R218" i="33"/>
  <c r="E218" i="33" s="1"/>
  <c r="R138" i="33"/>
  <c r="C138" i="33" s="1"/>
  <c r="G176" i="33"/>
  <c r="S80" i="29"/>
  <c r="R137" i="33"/>
  <c r="F137" i="33" s="1"/>
  <c r="H97" i="33"/>
  <c r="E97" i="33"/>
  <c r="L97" i="33"/>
  <c r="R98" i="33"/>
  <c r="J98" i="33" s="1"/>
  <c r="D97" i="33"/>
  <c r="R56" i="33"/>
  <c r="D56" i="33" s="1"/>
  <c r="R217" i="33"/>
  <c r="E217" i="33" s="1"/>
  <c r="G97" i="33"/>
  <c r="F97" i="33"/>
  <c r="C97" i="33"/>
  <c r="R216" i="33"/>
  <c r="J216" i="33" s="1"/>
  <c r="L176" i="33"/>
  <c r="I97" i="33"/>
  <c r="J176" i="33"/>
  <c r="R96" i="33"/>
  <c r="H96" i="33" s="1"/>
  <c r="M176" i="33"/>
  <c r="R177" i="33"/>
  <c r="D177" i="33" s="1"/>
  <c r="R57" i="33"/>
  <c r="I57" i="33" s="1"/>
  <c r="C176" i="33"/>
  <c r="N97" i="33"/>
  <c r="K97" i="33"/>
  <c r="E176" i="33"/>
  <c r="N176" i="33"/>
  <c r="K176" i="33"/>
  <c r="F176" i="33"/>
  <c r="I176" i="33"/>
  <c r="D176" i="33"/>
  <c r="R136" i="33"/>
  <c r="C136" i="33" s="1"/>
  <c r="H95" i="33"/>
  <c r="AE91" i="29"/>
  <c r="AF91" i="29" s="1"/>
  <c r="AG91" i="29" s="1"/>
  <c r="AH91" i="29" s="1"/>
  <c r="AD91" i="29"/>
  <c r="AK98" i="29"/>
  <c r="AN98" i="29" s="1"/>
  <c r="AO98" i="29" s="1"/>
  <c r="T80" i="29"/>
  <c r="U80" i="29" s="1"/>
  <c r="V80" i="29" s="1"/>
  <c r="W80" i="29" s="1"/>
  <c r="Z86" i="29"/>
  <c r="AA86" i="29" s="1"/>
  <c r="AB86" i="29" s="1"/>
  <c r="AC86" i="29" s="1"/>
  <c r="V83" i="29"/>
  <c r="F67" i="29"/>
  <c r="X85" i="29"/>
  <c r="AJ92" i="29"/>
  <c r="AL94" i="29"/>
  <c r="AH90" i="29"/>
  <c r="AI95" i="29"/>
  <c r="AJ95" i="29" s="1"/>
  <c r="AK95" i="29" s="1"/>
  <c r="AL95" i="29" s="1"/>
  <c r="AG94" i="29"/>
  <c r="Z87" i="29"/>
  <c r="AC85" i="29"/>
  <c r="J95" i="33"/>
  <c r="K95" i="33"/>
  <c r="E95" i="33"/>
  <c r="R55" i="33"/>
  <c r="D55" i="33" s="1"/>
  <c r="R215" i="33"/>
  <c r="G215" i="33" s="1"/>
  <c r="D95" i="33"/>
  <c r="M95" i="33"/>
  <c r="G95" i="33"/>
  <c r="C95" i="33"/>
  <c r="N95" i="33"/>
  <c r="L95" i="33"/>
  <c r="R175" i="33"/>
  <c r="N175" i="33" s="1"/>
  <c r="F95" i="33"/>
  <c r="R135" i="33"/>
  <c r="C135" i="33" s="1"/>
  <c r="G68" i="29"/>
  <c r="H68" i="29"/>
  <c r="I68" i="29" s="1"/>
  <c r="J68" i="29" s="1"/>
  <c r="K68" i="29" s="1"/>
  <c r="AI96" i="29"/>
  <c r="AN96" i="29" s="1"/>
  <c r="AO96" i="29" s="1"/>
  <c r="M73" i="29"/>
  <c r="N73" i="29" s="1"/>
  <c r="O73" i="29" s="1"/>
  <c r="P73" i="29" s="1"/>
  <c r="AB88" i="29"/>
  <c r="AC88" i="29" s="1"/>
  <c r="AD88" i="29" s="1"/>
  <c r="AE88" i="29" s="1"/>
  <c r="AB89" i="29"/>
  <c r="I70" i="29"/>
  <c r="J70" i="29"/>
  <c r="K70" i="29" s="1"/>
  <c r="L70" i="29" s="1"/>
  <c r="M70" i="29" s="1"/>
  <c r="K72" i="29"/>
  <c r="L72" i="29"/>
  <c r="M72" i="29" s="1"/>
  <c r="N72" i="29" s="1"/>
  <c r="O72" i="29" s="1"/>
  <c r="F66" i="29"/>
  <c r="G66" i="29" s="1"/>
  <c r="H66" i="29" s="1"/>
  <c r="T81" i="29"/>
  <c r="J66" i="29"/>
  <c r="V78" i="29"/>
  <c r="U81" i="29"/>
  <c r="V81" i="29" s="1"/>
  <c r="W81" i="29" s="1"/>
  <c r="X81" i="29" s="1"/>
  <c r="Q73" i="29"/>
  <c r="C11" i="34"/>
  <c r="I69" i="29"/>
  <c r="J69" i="29" s="1"/>
  <c r="K69" i="29" s="1"/>
  <c r="L69" i="29" s="1"/>
  <c r="AK97" i="29"/>
  <c r="AL97" i="29" s="1"/>
  <c r="AM97" i="29" s="1"/>
  <c r="AA87" i="29"/>
  <c r="AB87" i="29" s="1"/>
  <c r="AC87" i="29" s="1"/>
  <c r="AD87" i="29" s="1"/>
  <c r="M69" i="29"/>
  <c r="U82" i="29"/>
  <c r="V82" i="29"/>
  <c r="W82" i="29" s="1"/>
  <c r="X82" i="29" s="1"/>
  <c r="Y82" i="29" s="1"/>
  <c r="AB84" i="29"/>
  <c r="O71" i="29"/>
  <c r="AG89" i="29"/>
  <c r="J71" i="29"/>
  <c r="Q77" i="29"/>
  <c r="R77" i="29" s="1"/>
  <c r="S77" i="29" s="1"/>
  <c r="T77" i="29" s="1"/>
  <c r="AD90" i="29"/>
  <c r="AE90" i="29" s="1"/>
  <c r="AF90" i="29" s="1"/>
  <c r="AG90" i="29" s="1"/>
  <c r="U77" i="29"/>
  <c r="D101" i="29"/>
  <c r="R79" i="29"/>
  <c r="X84" i="29"/>
  <c r="Y84" i="29" s="1"/>
  <c r="Z84" i="29" s="1"/>
  <c r="AA84" i="29" s="1"/>
  <c r="W79" i="29"/>
  <c r="Q78" i="29"/>
  <c r="AG93" i="29"/>
  <c r="AH93" i="29" s="1"/>
  <c r="AI93" i="29" s="1"/>
  <c r="AJ93" i="29" s="1"/>
  <c r="T76" i="29"/>
  <c r="O76" i="29"/>
  <c r="R74" i="29"/>
  <c r="O75" i="29"/>
  <c r="P75" i="29" s="1"/>
  <c r="Q75" i="29" s="1"/>
  <c r="R75" i="29" s="1"/>
  <c r="S75" i="29"/>
  <c r="N74" i="29"/>
  <c r="O74" i="29" s="1"/>
  <c r="P74" i="29" s="1"/>
  <c r="Q74" i="29" s="1"/>
  <c r="AA88" i="29"/>
  <c r="AF93" i="29"/>
  <c r="F27" i="50"/>
  <c r="F34" i="50"/>
  <c r="G15" i="27"/>
  <c r="G15" i="25"/>
  <c r="F43" i="50"/>
  <c r="F42" i="50" s="1"/>
  <c r="G11" i="5"/>
  <c r="C13" i="5"/>
  <c r="I16" i="31"/>
  <c r="I19" i="32"/>
  <c r="I13" i="33"/>
  <c r="O53" i="33"/>
  <c r="O93" i="33"/>
  <c r="L13" i="33"/>
  <c r="D13" i="33"/>
  <c r="N13" i="33"/>
  <c r="G13" i="33"/>
  <c r="F13" i="33"/>
  <c r="L14" i="33"/>
  <c r="E14" i="33"/>
  <c r="N14" i="33"/>
  <c r="G14" i="33"/>
  <c r="F14" i="33"/>
  <c r="M13" i="33"/>
  <c r="K14" i="33"/>
  <c r="J13" i="33"/>
  <c r="E13" i="33"/>
  <c r="I14" i="33"/>
  <c r="M14" i="33"/>
  <c r="D14" i="33"/>
  <c r="H13" i="33"/>
  <c r="K13" i="33"/>
  <c r="O213" i="33"/>
  <c r="O173" i="33"/>
  <c r="C13" i="33"/>
  <c r="O10" i="33"/>
  <c r="O214" i="33"/>
  <c r="O174" i="33"/>
  <c r="O54" i="33"/>
  <c r="C14" i="33"/>
  <c r="J14" i="33"/>
  <c r="H14" i="33"/>
  <c r="O94" i="33"/>
  <c r="O134" i="33"/>
  <c r="O9" i="33"/>
  <c r="R219" i="33"/>
  <c r="R179" i="33"/>
  <c r="R139" i="33"/>
  <c r="R99" i="33"/>
  <c r="R59" i="33"/>
  <c r="E178" i="33"/>
  <c r="I178" i="33"/>
  <c r="M178" i="33"/>
  <c r="F178" i="33"/>
  <c r="J178" i="33"/>
  <c r="N178" i="33"/>
  <c r="C178" i="33"/>
  <c r="K178" i="33"/>
  <c r="D178" i="33"/>
  <c r="L178" i="33"/>
  <c r="G178" i="33"/>
  <c r="H178" i="33"/>
  <c r="P21" i="40"/>
  <c r="D22" i="40"/>
  <c r="D10" i="4"/>
  <c r="E5" i="23" s="1"/>
  <c r="D5" i="23"/>
  <c r="E7" i="34"/>
  <c r="F8" i="34"/>
  <c r="F9" i="34"/>
  <c r="F9" i="35"/>
  <c r="F8" i="35"/>
  <c r="E7" i="35"/>
  <c r="D14" i="31"/>
  <c r="C17" i="27"/>
  <c r="H11" i="35"/>
  <c r="D12" i="35"/>
  <c r="E17" i="29"/>
  <c r="D12" i="34"/>
  <c r="D10" i="34" s="1"/>
  <c r="O11" i="33" l="1"/>
  <c r="O12" i="33"/>
  <c r="C58" i="33"/>
  <c r="N58" i="33"/>
  <c r="T19" i="25"/>
  <c r="T19" i="27"/>
  <c r="X71" i="45"/>
  <c r="W74" i="45"/>
  <c r="S19" i="32"/>
  <c r="S16" i="31"/>
  <c r="L19" i="25"/>
  <c r="L19" i="27"/>
  <c r="M16" i="31"/>
  <c r="M19" i="32"/>
  <c r="AM101" i="29"/>
  <c r="AM15" i="29" s="1"/>
  <c r="H58" i="33"/>
  <c r="G58" i="33"/>
  <c r="M58" i="33"/>
  <c r="I58" i="33"/>
  <c r="J58" i="33"/>
  <c r="E58" i="33"/>
  <c r="F58" i="33"/>
  <c r="L58" i="33"/>
  <c r="D58" i="33"/>
  <c r="AN83" i="29"/>
  <c r="AO83" i="29" s="1"/>
  <c r="AN92" i="29"/>
  <c r="AO92" i="29" s="1"/>
  <c r="AN93" i="29"/>
  <c r="AO93" i="29" s="1"/>
  <c r="M138" i="33"/>
  <c r="L138" i="33"/>
  <c r="AN85" i="29"/>
  <c r="AO85" i="29" s="1"/>
  <c r="G57" i="33"/>
  <c r="F57" i="33"/>
  <c r="D57" i="33"/>
  <c r="H135" i="33"/>
  <c r="H57" i="33"/>
  <c r="J57" i="33"/>
  <c r="N57" i="33"/>
  <c r="AL101" i="29"/>
  <c r="AL15" i="29" s="1"/>
  <c r="AN80" i="29"/>
  <c r="AO80" i="29" s="1"/>
  <c r="AK101" i="29"/>
  <c r="AK15" i="29" s="1"/>
  <c r="AD101" i="29"/>
  <c r="AD15" i="29" s="1"/>
  <c r="AN95" i="29"/>
  <c r="AO95" i="29" s="1"/>
  <c r="AN88" i="29"/>
  <c r="AO88" i="29" s="1"/>
  <c r="D135" i="33"/>
  <c r="J56" i="33"/>
  <c r="I216" i="33"/>
  <c r="N218" i="33"/>
  <c r="D96" i="33"/>
  <c r="G136" i="33"/>
  <c r="D217" i="33"/>
  <c r="K56" i="33"/>
  <c r="L216" i="33"/>
  <c r="I136" i="33"/>
  <c r="M218" i="33"/>
  <c r="H98" i="33"/>
  <c r="C216" i="33"/>
  <c r="F98" i="33"/>
  <c r="D216" i="33"/>
  <c r="G216" i="33"/>
  <c r="J218" i="33"/>
  <c r="C98" i="33"/>
  <c r="K98" i="33"/>
  <c r="G218" i="33"/>
  <c r="M98" i="33"/>
  <c r="N216" i="33"/>
  <c r="G177" i="33"/>
  <c r="C218" i="33"/>
  <c r="I98" i="33"/>
  <c r="I135" i="33"/>
  <c r="J136" i="33"/>
  <c r="J137" i="33"/>
  <c r="F177" i="33"/>
  <c r="K177" i="33"/>
  <c r="C137" i="33"/>
  <c r="G55" i="33"/>
  <c r="M137" i="33"/>
  <c r="G137" i="33"/>
  <c r="O97" i="33"/>
  <c r="J55" i="33"/>
  <c r="K175" i="33"/>
  <c r="H138" i="33"/>
  <c r="H56" i="33"/>
  <c r="G98" i="33"/>
  <c r="E98" i="33"/>
  <c r="K138" i="33"/>
  <c r="C56" i="33"/>
  <c r="G56" i="33"/>
  <c r="N56" i="33"/>
  <c r="L218" i="33"/>
  <c r="F218" i="33"/>
  <c r="L98" i="33"/>
  <c r="J138" i="33"/>
  <c r="F138" i="33"/>
  <c r="F216" i="33"/>
  <c r="M216" i="33"/>
  <c r="F56" i="33"/>
  <c r="K136" i="33"/>
  <c r="H218" i="33"/>
  <c r="D98" i="33"/>
  <c r="D138" i="33"/>
  <c r="D218" i="33"/>
  <c r="I218" i="33"/>
  <c r="N98" i="33"/>
  <c r="N138" i="33"/>
  <c r="G138" i="33"/>
  <c r="K215" i="33"/>
  <c r="K216" i="33"/>
  <c r="H177" i="33"/>
  <c r="L136" i="33"/>
  <c r="L56" i="33"/>
  <c r="I138" i="33"/>
  <c r="M56" i="33"/>
  <c r="K218" i="33"/>
  <c r="E138" i="33"/>
  <c r="D215" i="33"/>
  <c r="N177" i="33"/>
  <c r="E56" i="33"/>
  <c r="I56" i="33"/>
  <c r="AN91" i="29"/>
  <c r="AO91" i="29" s="1"/>
  <c r="AG101" i="29"/>
  <c r="AG15" i="29" s="1"/>
  <c r="AN72" i="29"/>
  <c r="AO72" i="29" s="1"/>
  <c r="AN87" i="29"/>
  <c r="AO87" i="29" s="1"/>
  <c r="AN89" i="29"/>
  <c r="AO89" i="29" s="1"/>
  <c r="AH101" i="29"/>
  <c r="AH15" i="29" s="1"/>
  <c r="AN86" i="29"/>
  <c r="AO86" i="29" s="1"/>
  <c r="K96" i="33"/>
  <c r="E96" i="33"/>
  <c r="F55" i="33"/>
  <c r="N217" i="33"/>
  <c r="K137" i="33"/>
  <c r="H137" i="33"/>
  <c r="E137" i="33"/>
  <c r="C217" i="33"/>
  <c r="C96" i="33"/>
  <c r="G217" i="33"/>
  <c r="L55" i="33"/>
  <c r="N137" i="33"/>
  <c r="H217" i="33"/>
  <c r="L135" i="33"/>
  <c r="M55" i="33"/>
  <c r="C175" i="33"/>
  <c r="D137" i="33"/>
  <c r="L217" i="33"/>
  <c r="E216" i="33"/>
  <c r="H216" i="33"/>
  <c r="K55" i="33"/>
  <c r="M96" i="33"/>
  <c r="I217" i="33"/>
  <c r="L137" i="33"/>
  <c r="M217" i="33"/>
  <c r="N55" i="33"/>
  <c r="L175" i="33"/>
  <c r="K217" i="33"/>
  <c r="I137" i="33"/>
  <c r="F217" i="33"/>
  <c r="J217" i="33"/>
  <c r="E175" i="33"/>
  <c r="K57" i="33"/>
  <c r="M57" i="33"/>
  <c r="G96" i="33"/>
  <c r="L215" i="33"/>
  <c r="K135" i="33"/>
  <c r="C55" i="33"/>
  <c r="M177" i="33"/>
  <c r="J175" i="33"/>
  <c r="L177" i="33"/>
  <c r="I177" i="33"/>
  <c r="L96" i="33"/>
  <c r="C57" i="33"/>
  <c r="H175" i="33"/>
  <c r="E215" i="33"/>
  <c r="F215" i="33"/>
  <c r="N96" i="33"/>
  <c r="I215" i="33"/>
  <c r="G135" i="33"/>
  <c r="I96" i="33"/>
  <c r="E55" i="33"/>
  <c r="D175" i="33"/>
  <c r="J177" i="33"/>
  <c r="F175" i="33"/>
  <c r="M175" i="33"/>
  <c r="C215" i="33"/>
  <c r="M215" i="33"/>
  <c r="I55" i="33"/>
  <c r="J96" i="33"/>
  <c r="E57" i="33"/>
  <c r="F96" i="33"/>
  <c r="H55" i="33"/>
  <c r="C177" i="33"/>
  <c r="L57" i="33"/>
  <c r="E177" i="33"/>
  <c r="O95" i="33"/>
  <c r="O176" i="33"/>
  <c r="I175" i="33"/>
  <c r="G175" i="33"/>
  <c r="D136" i="33"/>
  <c r="H136" i="33"/>
  <c r="F136" i="33"/>
  <c r="M136" i="33"/>
  <c r="E136" i="33"/>
  <c r="N136" i="33"/>
  <c r="AJ101" i="29"/>
  <c r="AJ15" i="29" s="1"/>
  <c r="AN73" i="29"/>
  <c r="AO73" i="29" s="1"/>
  <c r="AC101" i="29"/>
  <c r="AC15" i="29" s="1"/>
  <c r="F101" i="29"/>
  <c r="F15" i="29" s="1"/>
  <c r="F17" i="29" s="1"/>
  <c r="E21" i="27" s="1"/>
  <c r="AI101" i="29"/>
  <c r="AI15" i="29" s="1"/>
  <c r="AN90" i="29"/>
  <c r="AO90" i="29" s="1"/>
  <c r="U101" i="29"/>
  <c r="U15" i="29" s="1"/>
  <c r="AN74" i="29"/>
  <c r="AO74" i="29" s="1"/>
  <c r="AF101" i="29"/>
  <c r="AF15" i="29" s="1"/>
  <c r="AN78" i="29"/>
  <c r="AO78" i="29" s="1"/>
  <c r="AE101" i="29"/>
  <c r="AE15" i="29" s="1"/>
  <c r="AN94" i="29"/>
  <c r="AO94" i="29" s="1"/>
  <c r="AN68" i="29"/>
  <c r="AO68" i="29" s="1"/>
  <c r="AN67" i="29"/>
  <c r="AO67" i="29" s="1"/>
  <c r="N101" i="29"/>
  <c r="N15" i="29" s="1"/>
  <c r="M101" i="29"/>
  <c r="M15" i="29" s="1"/>
  <c r="AN97" i="29"/>
  <c r="AO97" i="29" s="1"/>
  <c r="T101" i="29"/>
  <c r="T15" i="29" s="1"/>
  <c r="J215" i="33"/>
  <c r="M135" i="33"/>
  <c r="H215" i="33"/>
  <c r="N215" i="33"/>
  <c r="J135" i="33"/>
  <c r="N135" i="33"/>
  <c r="F135" i="33"/>
  <c r="E135" i="33"/>
  <c r="AN70" i="29"/>
  <c r="AO70" i="29" s="1"/>
  <c r="W101" i="29"/>
  <c r="W15" i="29" s="1"/>
  <c r="L101" i="29"/>
  <c r="L15" i="29" s="1"/>
  <c r="Y101" i="29"/>
  <c r="Y15" i="29" s="1"/>
  <c r="AN69" i="29"/>
  <c r="AO69" i="29" s="1"/>
  <c r="AA101" i="29"/>
  <c r="AA15" i="29" s="1"/>
  <c r="AB101" i="29"/>
  <c r="AB15" i="29" s="1"/>
  <c r="AN76" i="29"/>
  <c r="AO76" i="29" s="1"/>
  <c r="AN82" i="29"/>
  <c r="AO82" i="29" s="1"/>
  <c r="X101" i="29"/>
  <c r="X15" i="29" s="1"/>
  <c r="R101" i="29"/>
  <c r="R15" i="29" s="1"/>
  <c r="J101" i="29"/>
  <c r="J15" i="29" s="1"/>
  <c r="AN81" i="29"/>
  <c r="AO81" i="29" s="1"/>
  <c r="V101" i="29"/>
  <c r="V15" i="29" s="1"/>
  <c r="K101" i="29"/>
  <c r="K15" i="29" s="1"/>
  <c r="Z101" i="29"/>
  <c r="Z15" i="29" s="1"/>
  <c r="AN71" i="29"/>
  <c r="AO71" i="29" s="1"/>
  <c r="AN84" i="29"/>
  <c r="AO84" i="29" s="1"/>
  <c r="AN79" i="29"/>
  <c r="AO79" i="29" s="1"/>
  <c r="P101" i="29"/>
  <c r="P15" i="29" s="1"/>
  <c r="Q101" i="29"/>
  <c r="Q15" i="29" s="1"/>
  <c r="AN75" i="29"/>
  <c r="AO75" i="29" s="1"/>
  <c r="AN77" i="29"/>
  <c r="AO77" i="29" s="1"/>
  <c r="O101" i="29"/>
  <c r="O15" i="29" s="1"/>
  <c r="S101" i="29"/>
  <c r="S15" i="29" s="1"/>
  <c r="G14" i="25"/>
  <c r="C14" i="25" s="1"/>
  <c r="G14" i="27"/>
  <c r="C11" i="5"/>
  <c r="G12" i="31"/>
  <c r="G15" i="32"/>
  <c r="G101" i="29"/>
  <c r="G15" i="29" s="1"/>
  <c r="G17" i="29" s="1"/>
  <c r="O13" i="33"/>
  <c r="O14" i="33"/>
  <c r="O178" i="33"/>
  <c r="E139" i="33"/>
  <c r="I139" i="33"/>
  <c r="M139" i="33"/>
  <c r="F139" i="33"/>
  <c r="J139" i="33"/>
  <c r="N139" i="33"/>
  <c r="G139" i="33"/>
  <c r="H139" i="33"/>
  <c r="C139" i="33"/>
  <c r="D139" i="33"/>
  <c r="K139" i="33"/>
  <c r="L139" i="33"/>
  <c r="C179" i="33"/>
  <c r="G179" i="33"/>
  <c r="K179" i="33"/>
  <c r="D179" i="33"/>
  <c r="H179" i="33"/>
  <c r="L179" i="33"/>
  <c r="E179" i="33"/>
  <c r="M179" i="33"/>
  <c r="F179" i="33"/>
  <c r="N179" i="33"/>
  <c r="I179" i="33"/>
  <c r="J179" i="33"/>
  <c r="D23" i="40"/>
  <c r="P22" i="40"/>
  <c r="C59" i="33"/>
  <c r="G59" i="33"/>
  <c r="K59" i="33"/>
  <c r="D59" i="33"/>
  <c r="H59" i="33"/>
  <c r="L59" i="33"/>
  <c r="E59" i="33"/>
  <c r="M59" i="33"/>
  <c r="F59" i="33"/>
  <c r="N59" i="33"/>
  <c r="I59" i="33"/>
  <c r="J59" i="33"/>
  <c r="C219" i="33"/>
  <c r="G219" i="33"/>
  <c r="K219" i="33"/>
  <c r="D219" i="33"/>
  <c r="H219" i="33"/>
  <c r="L219" i="33"/>
  <c r="E219" i="33"/>
  <c r="I219" i="33"/>
  <c r="M219" i="33"/>
  <c r="F219" i="33"/>
  <c r="J219" i="33"/>
  <c r="N219" i="33"/>
  <c r="R220" i="33"/>
  <c r="R180" i="33"/>
  <c r="R100" i="33"/>
  <c r="R140" i="33"/>
  <c r="R60" i="33"/>
  <c r="C99" i="33"/>
  <c r="G99" i="33"/>
  <c r="K99" i="33"/>
  <c r="D99" i="33"/>
  <c r="H99" i="33"/>
  <c r="L99" i="33"/>
  <c r="F99" i="33"/>
  <c r="N99" i="33"/>
  <c r="I99" i="33"/>
  <c r="M99" i="33"/>
  <c r="E99" i="33"/>
  <c r="J99" i="33"/>
  <c r="D11" i="4"/>
  <c r="E11" i="4" s="1"/>
  <c r="E34" i="23"/>
  <c r="D17" i="32"/>
  <c r="C17" i="32" s="1"/>
  <c r="C14" i="31"/>
  <c r="G9" i="34"/>
  <c r="G9" i="35"/>
  <c r="D34" i="23"/>
  <c r="C5" i="23"/>
  <c r="D17" i="23"/>
  <c r="D22" i="23" s="1"/>
  <c r="G8" i="35"/>
  <c r="H8" i="35" s="1"/>
  <c r="I8" i="35" s="1"/>
  <c r="F7" i="35"/>
  <c r="F7" i="34"/>
  <c r="G8" i="34"/>
  <c r="E17" i="23"/>
  <c r="E42" i="23" s="1"/>
  <c r="D22" i="25"/>
  <c r="D21" i="27"/>
  <c r="I11" i="35"/>
  <c r="H101" i="29"/>
  <c r="H15" i="29" s="1"/>
  <c r="I66" i="29"/>
  <c r="I101" i="29" s="1"/>
  <c r="I15" i="29" s="1"/>
  <c r="D10" i="35"/>
  <c r="U43" i="5" l="1"/>
  <c r="Y71" i="45"/>
  <c r="X74" i="45"/>
  <c r="V43" i="5"/>
  <c r="T19" i="32"/>
  <c r="T16" i="31"/>
  <c r="L16" i="31"/>
  <c r="L19" i="32"/>
  <c r="O58" i="33"/>
  <c r="J18" i="33"/>
  <c r="K15" i="33"/>
  <c r="J17" i="33"/>
  <c r="O138" i="33"/>
  <c r="O55" i="33"/>
  <c r="L15" i="33"/>
  <c r="G18" i="33"/>
  <c r="L18" i="33"/>
  <c r="D15" i="33"/>
  <c r="N18" i="33"/>
  <c r="C18" i="33"/>
  <c r="I17" i="33"/>
  <c r="J16" i="33"/>
  <c r="G16" i="33"/>
  <c r="F17" i="33"/>
  <c r="M18" i="33"/>
  <c r="M16" i="33"/>
  <c r="D17" i="33"/>
  <c r="H16" i="33"/>
  <c r="F18" i="33"/>
  <c r="K18" i="33"/>
  <c r="G17" i="33"/>
  <c r="D16" i="33"/>
  <c r="N17" i="33"/>
  <c r="H17" i="33"/>
  <c r="D18" i="33"/>
  <c r="E18" i="33"/>
  <c r="H18" i="33"/>
  <c r="O98" i="33"/>
  <c r="F16" i="33"/>
  <c r="I16" i="33"/>
  <c r="K17" i="33"/>
  <c r="O96" i="33"/>
  <c r="K16" i="33"/>
  <c r="L16" i="33"/>
  <c r="O218" i="33"/>
  <c r="O216" i="33"/>
  <c r="O56" i="33"/>
  <c r="M15" i="33"/>
  <c r="E16" i="33"/>
  <c r="C16" i="33"/>
  <c r="I18" i="33"/>
  <c r="O177" i="33"/>
  <c r="N16" i="33"/>
  <c r="O137" i="33"/>
  <c r="O217" i="33"/>
  <c r="E12" i="35"/>
  <c r="E10" i="35" s="1"/>
  <c r="E12" i="34"/>
  <c r="E10" i="34" s="1"/>
  <c r="E22" i="25"/>
  <c r="E12" i="25" s="1"/>
  <c r="O175" i="33"/>
  <c r="O57" i="33"/>
  <c r="C17" i="33"/>
  <c r="E17" i="33"/>
  <c r="G15" i="33"/>
  <c r="M17" i="33"/>
  <c r="O136" i="33"/>
  <c r="L17" i="33"/>
  <c r="C15" i="33"/>
  <c r="I15" i="33"/>
  <c r="J15" i="33"/>
  <c r="E15" i="33"/>
  <c r="F15" i="33"/>
  <c r="N15" i="33"/>
  <c r="O215" i="33"/>
  <c r="H15" i="33"/>
  <c r="O135" i="33"/>
  <c r="G14" i="32"/>
  <c r="C14" i="32" s="1"/>
  <c r="G11" i="31"/>
  <c r="C11" i="31" s="1"/>
  <c r="C14" i="27"/>
  <c r="O139" i="33"/>
  <c r="O99" i="33"/>
  <c r="J19" i="33"/>
  <c r="M19" i="33"/>
  <c r="E180" i="33"/>
  <c r="I180" i="33"/>
  <c r="M180" i="33"/>
  <c r="F180" i="33"/>
  <c r="J180" i="33"/>
  <c r="N180" i="33"/>
  <c r="G180" i="33"/>
  <c r="H180" i="33"/>
  <c r="D180" i="33"/>
  <c r="K180" i="33"/>
  <c r="C180" i="33"/>
  <c r="L180" i="33"/>
  <c r="E60" i="33"/>
  <c r="I60" i="33"/>
  <c r="M60" i="33"/>
  <c r="F60" i="33"/>
  <c r="J60" i="33"/>
  <c r="N60" i="33"/>
  <c r="G60" i="33"/>
  <c r="H60" i="33"/>
  <c r="C60" i="33"/>
  <c r="K60" i="33"/>
  <c r="D60" i="33"/>
  <c r="L60" i="33"/>
  <c r="E220" i="33"/>
  <c r="I220" i="33"/>
  <c r="M220" i="33"/>
  <c r="F220" i="33"/>
  <c r="J220" i="33"/>
  <c r="N220" i="33"/>
  <c r="C220" i="33"/>
  <c r="G220" i="33"/>
  <c r="K220" i="33"/>
  <c r="D220" i="33"/>
  <c r="H220" i="33"/>
  <c r="L220" i="33"/>
  <c r="I19" i="33"/>
  <c r="E19" i="33"/>
  <c r="K19" i="33"/>
  <c r="P23" i="40"/>
  <c r="D24" i="40"/>
  <c r="D19" i="33"/>
  <c r="O179" i="33"/>
  <c r="C140" i="33"/>
  <c r="G140" i="33"/>
  <c r="K140" i="33"/>
  <c r="D140" i="33"/>
  <c r="H140" i="33"/>
  <c r="L140" i="33"/>
  <c r="I140" i="33"/>
  <c r="J140" i="33"/>
  <c r="E140" i="33"/>
  <c r="F140" i="33"/>
  <c r="M140" i="33"/>
  <c r="N140" i="33"/>
  <c r="N19" i="33"/>
  <c r="L19" i="33"/>
  <c r="G19" i="33"/>
  <c r="R221" i="33"/>
  <c r="R181" i="33"/>
  <c r="R141" i="33"/>
  <c r="R101" i="33"/>
  <c r="R61" i="33"/>
  <c r="E100" i="33"/>
  <c r="I100" i="33"/>
  <c r="M100" i="33"/>
  <c r="F100" i="33"/>
  <c r="J100" i="33"/>
  <c r="N100" i="33"/>
  <c r="H100" i="33"/>
  <c r="C100" i="33"/>
  <c r="K100" i="33"/>
  <c r="D100" i="33"/>
  <c r="G100" i="33"/>
  <c r="L100" i="33"/>
  <c r="O219" i="33"/>
  <c r="F19" i="33"/>
  <c r="H19" i="33"/>
  <c r="O59" i="33"/>
  <c r="C19" i="33"/>
  <c r="E22" i="23"/>
  <c r="E7" i="24" s="1"/>
  <c r="C34" i="23"/>
  <c r="D35" i="23"/>
  <c r="D10" i="32"/>
  <c r="D7" i="24"/>
  <c r="D14" i="34"/>
  <c r="H8" i="34"/>
  <c r="G7" i="34"/>
  <c r="D42" i="23"/>
  <c r="C17" i="23"/>
  <c r="H9" i="34"/>
  <c r="H9" i="35"/>
  <c r="H7" i="35" s="1"/>
  <c r="J8" i="35"/>
  <c r="G7" i="35"/>
  <c r="AN66" i="29"/>
  <c r="J11" i="35"/>
  <c r="F21" i="27"/>
  <c r="F22" i="25"/>
  <c r="I17" i="29"/>
  <c r="D37" i="27"/>
  <c r="D15" i="34" s="1"/>
  <c r="D12" i="27"/>
  <c r="H17" i="29"/>
  <c r="D15" i="29"/>
  <c r="D35" i="25"/>
  <c r="D12" i="25"/>
  <c r="E12" i="27"/>
  <c r="E37" i="27"/>
  <c r="C7" i="31"/>
  <c r="Z71" i="45" l="1"/>
  <c r="W43" i="5"/>
  <c r="Y74" i="45"/>
  <c r="V19" i="25"/>
  <c r="V19" i="27"/>
  <c r="U19" i="25"/>
  <c r="U19" i="27"/>
  <c r="F12" i="35"/>
  <c r="F10" i="35" s="1"/>
  <c r="F12" i="34"/>
  <c r="F10" i="34" s="1"/>
  <c r="O18" i="33"/>
  <c r="P23" i="5" s="1"/>
  <c r="P16" i="5" s="1"/>
  <c r="P15" i="27" s="1"/>
  <c r="P12" i="31" s="1"/>
  <c r="O17" i="33"/>
  <c r="O23" i="5" s="1"/>
  <c r="O16" i="5" s="1"/>
  <c r="O16" i="33"/>
  <c r="N23" i="5" s="1"/>
  <c r="N16" i="5" s="1"/>
  <c r="N15" i="27" s="1"/>
  <c r="N12" i="31" s="1"/>
  <c r="E35" i="25"/>
  <c r="E69" i="25" s="1"/>
  <c r="O15" i="33"/>
  <c r="E14" i="34"/>
  <c r="E15" i="34"/>
  <c r="C22" i="23"/>
  <c r="E10" i="32"/>
  <c r="C10" i="32" s="1"/>
  <c r="O100" i="33"/>
  <c r="C181" i="33"/>
  <c r="G181" i="33"/>
  <c r="K181" i="33"/>
  <c r="D181" i="33"/>
  <c r="H181" i="33"/>
  <c r="L181" i="33"/>
  <c r="I181" i="33"/>
  <c r="J181" i="33"/>
  <c r="F181" i="33"/>
  <c r="M181" i="33"/>
  <c r="E181" i="33"/>
  <c r="N181" i="33"/>
  <c r="O140" i="33"/>
  <c r="R222" i="33"/>
  <c r="R182" i="33"/>
  <c r="R102" i="33"/>
  <c r="R62" i="33"/>
  <c r="R142" i="33"/>
  <c r="L20" i="33"/>
  <c r="H20" i="33"/>
  <c r="F20" i="33"/>
  <c r="E141" i="33"/>
  <c r="I141" i="33"/>
  <c r="M141" i="33"/>
  <c r="F141" i="33"/>
  <c r="J141" i="33"/>
  <c r="N141" i="33"/>
  <c r="C141" i="33"/>
  <c r="K141" i="33"/>
  <c r="D141" i="33"/>
  <c r="L141" i="33"/>
  <c r="G141" i="33"/>
  <c r="H141" i="33"/>
  <c r="D25" i="40"/>
  <c r="P24" i="40"/>
  <c r="O60" i="33"/>
  <c r="C20" i="33"/>
  <c r="J20" i="33"/>
  <c r="O19" i="33"/>
  <c r="C61" i="33"/>
  <c r="G61" i="33"/>
  <c r="K61" i="33"/>
  <c r="D61" i="33"/>
  <c r="H61" i="33"/>
  <c r="L61" i="33"/>
  <c r="I61" i="33"/>
  <c r="J61" i="33"/>
  <c r="E61" i="33"/>
  <c r="M61" i="33"/>
  <c r="F61" i="33"/>
  <c r="N61" i="33"/>
  <c r="C221" i="33"/>
  <c r="G221" i="33"/>
  <c r="K221" i="33"/>
  <c r="D221" i="33"/>
  <c r="H221" i="33"/>
  <c r="L221" i="33"/>
  <c r="E221" i="33"/>
  <c r="I221" i="33"/>
  <c r="M221" i="33"/>
  <c r="F221" i="33"/>
  <c r="J221" i="33"/>
  <c r="N221" i="33"/>
  <c r="O220" i="33"/>
  <c r="D20" i="33"/>
  <c r="G20" i="33"/>
  <c r="M20" i="33"/>
  <c r="E20" i="33"/>
  <c r="C101" i="33"/>
  <c r="G101" i="33"/>
  <c r="K101" i="33"/>
  <c r="D101" i="33"/>
  <c r="H101" i="33"/>
  <c r="L101" i="33"/>
  <c r="J101" i="33"/>
  <c r="E101" i="33"/>
  <c r="M101" i="33"/>
  <c r="F101" i="33"/>
  <c r="I101" i="33"/>
  <c r="N101" i="33"/>
  <c r="K20" i="33"/>
  <c r="N20" i="33"/>
  <c r="I20" i="33"/>
  <c r="O180" i="33"/>
  <c r="C7" i="24"/>
  <c r="K8" i="35"/>
  <c r="O37" i="23"/>
  <c r="O9" i="23" s="1"/>
  <c r="F37" i="23"/>
  <c r="Q37" i="23"/>
  <c r="Q9" i="23" s="1"/>
  <c r="G37" i="23"/>
  <c r="G9" i="23" s="1"/>
  <c r="L37" i="23"/>
  <c r="L9" i="23" s="1"/>
  <c r="M37" i="23"/>
  <c r="M9" i="23" s="1"/>
  <c r="P37" i="23"/>
  <c r="P9" i="23" s="1"/>
  <c r="R37" i="23"/>
  <c r="R9" i="23" s="1"/>
  <c r="K37" i="23"/>
  <c r="K9" i="23" s="1"/>
  <c r="I37" i="23"/>
  <c r="I9" i="23" s="1"/>
  <c r="H37" i="23"/>
  <c r="H9" i="23" s="1"/>
  <c r="J37" i="23"/>
  <c r="J9" i="23" s="1"/>
  <c r="N37" i="23"/>
  <c r="N9" i="23" s="1"/>
  <c r="C42" i="23"/>
  <c r="D43" i="23"/>
  <c r="I9" i="35"/>
  <c r="I7" i="35" s="1"/>
  <c r="I9" i="34"/>
  <c r="J17" i="29"/>
  <c r="I8" i="34"/>
  <c r="H7" i="34"/>
  <c r="D36" i="23"/>
  <c r="D38" i="23" s="1"/>
  <c r="E33" i="23" s="1"/>
  <c r="D8" i="23"/>
  <c r="D69" i="25"/>
  <c r="D15" i="35"/>
  <c r="G21" i="27"/>
  <c r="G37" i="5"/>
  <c r="G36" i="5" s="1"/>
  <c r="G58" i="5" s="1"/>
  <c r="G62" i="5" s="1"/>
  <c r="G22" i="25"/>
  <c r="F37" i="27"/>
  <c r="F12" i="27"/>
  <c r="AN101" i="29"/>
  <c r="AO66" i="29"/>
  <c r="H21" i="27"/>
  <c r="H37" i="5"/>
  <c r="H36" i="5" s="1"/>
  <c r="H58" i="5" s="1"/>
  <c r="H62" i="5" s="1"/>
  <c r="H22" i="25"/>
  <c r="F35" i="25"/>
  <c r="F12" i="25"/>
  <c r="K11" i="35"/>
  <c r="V19" i="32" l="1"/>
  <c r="V16" i="31"/>
  <c r="U19" i="32"/>
  <c r="U16" i="31"/>
  <c r="W19" i="25"/>
  <c r="W19" i="27"/>
  <c r="AA71" i="45"/>
  <c r="X43" i="5"/>
  <c r="Z74" i="45"/>
  <c r="G12" i="34"/>
  <c r="G10" i="34" s="1"/>
  <c r="G12" i="35"/>
  <c r="G10" i="35" s="1"/>
  <c r="P15" i="32"/>
  <c r="P15" i="25"/>
  <c r="N15" i="32"/>
  <c r="N15" i="25"/>
  <c r="E15" i="35"/>
  <c r="F15" i="35" s="1"/>
  <c r="F15" i="34"/>
  <c r="O20" i="33"/>
  <c r="R23" i="5" s="1"/>
  <c r="R16" i="5" s="1"/>
  <c r="R15" i="25" s="1"/>
  <c r="J21" i="33"/>
  <c r="O101" i="33"/>
  <c r="E62" i="33"/>
  <c r="I62" i="33"/>
  <c r="M62" i="33"/>
  <c r="F62" i="33"/>
  <c r="J62" i="33"/>
  <c r="N62" i="33"/>
  <c r="C62" i="33"/>
  <c r="K62" i="33"/>
  <c r="D62" i="33"/>
  <c r="L62" i="33"/>
  <c r="G62" i="33"/>
  <c r="H62" i="33"/>
  <c r="F21" i="33"/>
  <c r="I21" i="33"/>
  <c r="K21" i="33"/>
  <c r="Q23" i="5"/>
  <c r="R223" i="33"/>
  <c r="R143" i="33"/>
  <c r="R183" i="33"/>
  <c r="R103" i="33"/>
  <c r="R63" i="33"/>
  <c r="E102" i="33"/>
  <c r="I102" i="33"/>
  <c r="M102" i="33"/>
  <c r="F102" i="33"/>
  <c r="J102" i="33"/>
  <c r="N102" i="33"/>
  <c r="D102" i="33"/>
  <c r="L102" i="33"/>
  <c r="G102" i="33"/>
  <c r="C102" i="33"/>
  <c r="H102" i="33"/>
  <c r="K102" i="33"/>
  <c r="N21" i="33"/>
  <c r="D21" i="33"/>
  <c r="O141" i="33"/>
  <c r="M21" i="33"/>
  <c r="L21" i="33"/>
  <c r="G21" i="33"/>
  <c r="P25" i="40"/>
  <c r="D26" i="40"/>
  <c r="E182" i="33"/>
  <c r="I182" i="33"/>
  <c r="M182" i="33"/>
  <c r="F182" i="33"/>
  <c r="J182" i="33"/>
  <c r="N182" i="33"/>
  <c r="C182" i="33"/>
  <c r="K182" i="33"/>
  <c r="D182" i="33"/>
  <c r="L182" i="33"/>
  <c r="H182" i="33"/>
  <c r="G182" i="33"/>
  <c r="O221" i="33"/>
  <c r="E21" i="33"/>
  <c r="H21" i="33"/>
  <c r="O61" i="33"/>
  <c r="C21" i="33"/>
  <c r="C142" i="33"/>
  <c r="G142" i="33"/>
  <c r="K142" i="33"/>
  <c r="D142" i="33"/>
  <c r="H142" i="33"/>
  <c r="L142" i="33"/>
  <c r="E142" i="33"/>
  <c r="M142" i="33"/>
  <c r="F142" i="33"/>
  <c r="N142" i="33"/>
  <c r="I142" i="33"/>
  <c r="J142" i="33"/>
  <c r="E222" i="33"/>
  <c r="I222" i="33"/>
  <c r="M222" i="33"/>
  <c r="F222" i="33"/>
  <c r="J222" i="33"/>
  <c r="N222" i="33"/>
  <c r="C222" i="33"/>
  <c r="G222" i="33"/>
  <c r="K222" i="33"/>
  <c r="D222" i="33"/>
  <c r="H222" i="33"/>
  <c r="L222" i="33"/>
  <c r="O15" i="25"/>
  <c r="O15" i="27"/>
  <c r="O181" i="33"/>
  <c r="F9" i="23"/>
  <c r="C37" i="23"/>
  <c r="J8" i="34"/>
  <c r="I7" i="34"/>
  <c r="K17" i="29"/>
  <c r="J9" i="34"/>
  <c r="J9" i="35"/>
  <c r="J7" i="35" s="1"/>
  <c r="D7" i="23"/>
  <c r="I22" i="25"/>
  <c r="I21" i="27"/>
  <c r="I37" i="5"/>
  <c r="I36" i="5" s="1"/>
  <c r="I58" i="5" s="1"/>
  <c r="I62" i="5" s="1"/>
  <c r="D20" i="23"/>
  <c r="D19" i="23" s="1"/>
  <c r="D44" i="23"/>
  <c r="D46" i="23" s="1"/>
  <c r="E41" i="23" s="1"/>
  <c r="E35" i="23"/>
  <c r="H45" i="23"/>
  <c r="H21" i="23" s="1"/>
  <c r="H26" i="23" s="1"/>
  <c r="H30" i="32" s="1"/>
  <c r="L45" i="23"/>
  <c r="L21" i="23" s="1"/>
  <c r="L26" i="23" s="1"/>
  <c r="L30" i="32" s="1"/>
  <c r="N45" i="23"/>
  <c r="N21" i="23" s="1"/>
  <c r="N26" i="23" s="1"/>
  <c r="N30" i="32" s="1"/>
  <c r="I45" i="23"/>
  <c r="I21" i="23" s="1"/>
  <c r="I26" i="23" s="1"/>
  <c r="I30" i="32" s="1"/>
  <c r="K45" i="23"/>
  <c r="K21" i="23" s="1"/>
  <c r="K26" i="23" s="1"/>
  <c r="K30" i="32" s="1"/>
  <c r="R45" i="23"/>
  <c r="R21" i="23" s="1"/>
  <c r="R26" i="23" s="1"/>
  <c r="R30" i="32" s="1"/>
  <c r="O45" i="23"/>
  <c r="O21" i="23" s="1"/>
  <c r="O26" i="23" s="1"/>
  <c r="O30" i="32" s="1"/>
  <c r="F45" i="23"/>
  <c r="G45" i="23"/>
  <c r="G21" i="23" s="1"/>
  <c r="G26" i="23" s="1"/>
  <c r="G30" i="32" s="1"/>
  <c r="M45" i="23"/>
  <c r="M21" i="23" s="1"/>
  <c r="M26" i="23" s="1"/>
  <c r="M30" i="32" s="1"/>
  <c r="J45" i="23"/>
  <c r="J21" i="23" s="1"/>
  <c r="J26" i="23" s="1"/>
  <c r="J30" i="32" s="1"/>
  <c r="Q45" i="23"/>
  <c r="Q21" i="23" s="1"/>
  <c r="Q26" i="23" s="1"/>
  <c r="Q30" i="32" s="1"/>
  <c r="P45" i="23"/>
  <c r="P21" i="23" s="1"/>
  <c r="P26" i="23" s="1"/>
  <c r="P30" i="32" s="1"/>
  <c r="L8" i="35"/>
  <c r="L11" i="35"/>
  <c r="H12" i="25"/>
  <c r="H35" i="25"/>
  <c r="G12" i="27"/>
  <c r="G37" i="27"/>
  <c r="F69" i="25"/>
  <c r="H37" i="27"/>
  <c r="H12" i="27"/>
  <c r="G35" i="25"/>
  <c r="G69" i="25" s="1"/>
  <c r="G12" i="25"/>
  <c r="H12" i="34" l="1"/>
  <c r="H10" i="34" s="1"/>
  <c r="W16" i="31"/>
  <c r="W19" i="32"/>
  <c r="X19" i="25"/>
  <c r="X19" i="27"/>
  <c r="AB71" i="45"/>
  <c r="Y43" i="5"/>
  <c r="AA74" i="45"/>
  <c r="H12" i="35"/>
  <c r="G15" i="34"/>
  <c r="H15" i="34" s="1"/>
  <c r="R15" i="27"/>
  <c r="R12" i="31" s="1"/>
  <c r="G22" i="33"/>
  <c r="O21" i="33"/>
  <c r="S23" i="5" s="1"/>
  <c r="S16" i="5" s="1"/>
  <c r="C223" i="33"/>
  <c r="G223" i="33"/>
  <c r="K223" i="33"/>
  <c r="D223" i="33"/>
  <c r="H223" i="33"/>
  <c r="L223" i="33"/>
  <c r="E223" i="33"/>
  <c r="I223" i="33"/>
  <c r="M223" i="33"/>
  <c r="F223" i="33"/>
  <c r="J223" i="33"/>
  <c r="N223" i="33"/>
  <c r="M22" i="33"/>
  <c r="O15" i="32"/>
  <c r="O12" i="31"/>
  <c r="C103" i="33"/>
  <c r="G103" i="33"/>
  <c r="K103" i="33"/>
  <c r="D103" i="33"/>
  <c r="H103" i="33"/>
  <c r="L103" i="33"/>
  <c r="F103" i="33"/>
  <c r="N103" i="33"/>
  <c r="I103" i="33"/>
  <c r="E103" i="33"/>
  <c r="J103" i="33"/>
  <c r="M103" i="33"/>
  <c r="L22" i="33"/>
  <c r="N22" i="33"/>
  <c r="I22" i="33"/>
  <c r="O222" i="33"/>
  <c r="C63" i="33"/>
  <c r="G63" i="33"/>
  <c r="K63" i="33"/>
  <c r="D63" i="33"/>
  <c r="H63" i="33"/>
  <c r="L63" i="33"/>
  <c r="E63" i="33"/>
  <c r="M63" i="33"/>
  <c r="F63" i="33"/>
  <c r="N63" i="33"/>
  <c r="I63" i="33"/>
  <c r="J63" i="33"/>
  <c r="O62" i="33"/>
  <c r="C22" i="33"/>
  <c r="O142" i="33"/>
  <c r="D27" i="40"/>
  <c r="P26" i="40"/>
  <c r="O102" i="33"/>
  <c r="C183" i="33"/>
  <c r="G183" i="33"/>
  <c r="K183" i="33"/>
  <c r="D183" i="33"/>
  <c r="H183" i="33"/>
  <c r="L183" i="33"/>
  <c r="E183" i="33"/>
  <c r="M183" i="33"/>
  <c r="F183" i="33"/>
  <c r="N183" i="33"/>
  <c r="J183" i="33"/>
  <c r="I183" i="33"/>
  <c r="Q16" i="5"/>
  <c r="D22" i="33"/>
  <c r="J22" i="33"/>
  <c r="E22" i="33"/>
  <c r="O182" i="33"/>
  <c r="R224" i="33"/>
  <c r="R184" i="33"/>
  <c r="R104" i="33"/>
  <c r="R144" i="33"/>
  <c r="R64" i="33"/>
  <c r="E143" i="33"/>
  <c r="I143" i="33"/>
  <c r="M143" i="33"/>
  <c r="F143" i="33"/>
  <c r="J143" i="33"/>
  <c r="N143" i="33"/>
  <c r="G143" i="33"/>
  <c r="H143" i="33"/>
  <c r="K143" i="33"/>
  <c r="L143" i="33"/>
  <c r="C143" i="33"/>
  <c r="D143" i="33"/>
  <c r="H22" i="33"/>
  <c r="K22" i="33"/>
  <c r="F22" i="33"/>
  <c r="G15" i="35"/>
  <c r="H15" i="35" s="1"/>
  <c r="D25" i="23"/>
  <c r="J22" i="25"/>
  <c r="J21" i="27"/>
  <c r="J37" i="5"/>
  <c r="J36" i="5" s="1"/>
  <c r="J58" i="5" s="1"/>
  <c r="J62" i="5" s="1"/>
  <c r="L17" i="29"/>
  <c r="K9" i="34"/>
  <c r="K9" i="35"/>
  <c r="K7" i="35" s="1"/>
  <c r="C9" i="23"/>
  <c r="M8" i="35"/>
  <c r="F21" i="23"/>
  <c r="C21" i="23" s="1"/>
  <c r="C45" i="23"/>
  <c r="I37" i="27"/>
  <c r="I12" i="27"/>
  <c r="E8" i="23"/>
  <c r="E36" i="23"/>
  <c r="E38" i="23" s="1"/>
  <c r="F33" i="23" s="1"/>
  <c r="E43" i="23"/>
  <c r="I35" i="25"/>
  <c r="I69" i="25" s="1"/>
  <c r="I12" i="25"/>
  <c r="K8" i="34"/>
  <c r="J7" i="34"/>
  <c r="I12" i="35"/>
  <c r="H10" i="35"/>
  <c r="H69" i="25"/>
  <c r="M11" i="35"/>
  <c r="I12" i="34" l="1"/>
  <c r="I10" i="34" s="1"/>
  <c r="X16" i="31"/>
  <c r="X19" i="32"/>
  <c r="AC71" i="45"/>
  <c r="Z43" i="5"/>
  <c r="AB74" i="45"/>
  <c r="Y19" i="27"/>
  <c r="Y19" i="25"/>
  <c r="J12" i="34"/>
  <c r="J10" i="34" s="1"/>
  <c r="R15" i="32"/>
  <c r="I15" i="34"/>
  <c r="O143" i="33"/>
  <c r="N23" i="33"/>
  <c r="E104" i="33"/>
  <c r="I104" i="33"/>
  <c r="M104" i="33"/>
  <c r="F104" i="33"/>
  <c r="J104" i="33"/>
  <c r="N104" i="33"/>
  <c r="H104" i="33"/>
  <c r="C104" i="33"/>
  <c r="K104" i="33"/>
  <c r="G104" i="33"/>
  <c r="L104" i="33"/>
  <c r="D104" i="33"/>
  <c r="Q15" i="25"/>
  <c r="Q15" i="27"/>
  <c r="O183" i="33"/>
  <c r="O22" i="33"/>
  <c r="T23" i="5" s="1"/>
  <c r="F23" i="33"/>
  <c r="H23" i="33"/>
  <c r="O63" i="33"/>
  <c r="C23" i="33"/>
  <c r="O223" i="33"/>
  <c r="G23" i="33"/>
  <c r="J23" i="33"/>
  <c r="M23" i="33"/>
  <c r="D23" i="33"/>
  <c r="O103" i="33"/>
  <c r="S15" i="27"/>
  <c r="S15" i="25"/>
  <c r="C144" i="33"/>
  <c r="G144" i="33"/>
  <c r="K144" i="33"/>
  <c r="D144" i="33"/>
  <c r="H144" i="33"/>
  <c r="L144" i="33"/>
  <c r="I144" i="33"/>
  <c r="J144" i="33"/>
  <c r="M144" i="33"/>
  <c r="N144" i="33"/>
  <c r="E144" i="33"/>
  <c r="F144" i="33"/>
  <c r="P27" i="40"/>
  <c r="D28" i="40"/>
  <c r="L23" i="33"/>
  <c r="E184" i="33"/>
  <c r="I184" i="33"/>
  <c r="M184" i="33"/>
  <c r="F184" i="33"/>
  <c r="J184" i="33"/>
  <c r="N184" i="33"/>
  <c r="G184" i="33"/>
  <c r="H184" i="33"/>
  <c r="L184" i="33"/>
  <c r="C184" i="33"/>
  <c r="D184" i="33"/>
  <c r="K184" i="33"/>
  <c r="E64" i="33"/>
  <c r="I64" i="33"/>
  <c r="M64" i="33"/>
  <c r="F64" i="33"/>
  <c r="J64" i="33"/>
  <c r="N64" i="33"/>
  <c r="G64" i="33"/>
  <c r="H64" i="33"/>
  <c r="C64" i="33"/>
  <c r="K64" i="33"/>
  <c r="D64" i="33"/>
  <c r="L64" i="33"/>
  <c r="E224" i="33"/>
  <c r="I224" i="33"/>
  <c r="M224" i="33"/>
  <c r="F224" i="33"/>
  <c r="J224" i="33"/>
  <c r="N224" i="33"/>
  <c r="C224" i="33"/>
  <c r="G224" i="33"/>
  <c r="K224" i="33"/>
  <c r="D224" i="33"/>
  <c r="H224" i="33"/>
  <c r="L224" i="33"/>
  <c r="R225" i="33"/>
  <c r="R185" i="33"/>
  <c r="R145" i="33"/>
  <c r="R105" i="33"/>
  <c r="R65" i="33"/>
  <c r="I23" i="33"/>
  <c r="E23" i="33"/>
  <c r="K23" i="33"/>
  <c r="F35" i="23"/>
  <c r="F36" i="23" s="1"/>
  <c r="F8" i="23" s="1"/>
  <c r="F7" i="23" s="1"/>
  <c r="E7" i="23"/>
  <c r="F26" i="23"/>
  <c r="D24" i="23"/>
  <c r="D5" i="24"/>
  <c r="D4" i="24" s="1"/>
  <c r="D12" i="24" s="1"/>
  <c r="D25" i="27" s="1"/>
  <c r="L8" i="34"/>
  <c r="K7" i="34"/>
  <c r="E44" i="23"/>
  <c r="E46" i="23" s="1"/>
  <c r="F41" i="23" s="1"/>
  <c r="E20" i="23"/>
  <c r="E19" i="23" s="1"/>
  <c r="N8" i="35"/>
  <c r="J12" i="27"/>
  <c r="J37" i="27"/>
  <c r="M17" i="29"/>
  <c r="L9" i="34"/>
  <c r="L9" i="35"/>
  <c r="L7" i="35" s="1"/>
  <c r="I15" i="35"/>
  <c r="K21" i="27"/>
  <c r="K22" i="25"/>
  <c r="K37" i="5"/>
  <c r="K36" i="5" s="1"/>
  <c r="K58" i="5" s="1"/>
  <c r="K62" i="5" s="1"/>
  <c r="J12" i="25"/>
  <c r="J35" i="25"/>
  <c r="J69" i="25" s="1"/>
  <c r="N11" i="35"/>
  <c r="J12" i="35"/>
  <c r="I10" i="35"/>
  <c r="Y16" i="31" l="1"/>
  <c r="Y19" i="32"/>
  <c r="Z19" i="25"/>
  <c r="Z19" i="27"/>
  <c r="AD71" i="45"/>
  <c r="AA43" i="5"/>
  <c r="AC74" i="45"/>
  <c r="K12" i="34"/>
  <c r="L12" i="34" s="1"/>
  <c r="J15" i="34"/>
  <c r="F38" i="23"/>
  <c r="G33" i="23" s="1"/>
  <c r="G35" i="23" s="1"/>
  <c r="G36" i="23" s="1"/>
  <c r="G38" i="23" s="1"/>
  <c r="H33" i="23" s="1"/>
  <c r="H24" i="33"/>
  <c r="D24" i="33"/>
  <c r="F24" i="33"/>
  <c r="E145" i="33"/>
  <c r="I145" i="33"/>
  <c r="M145" i="33"/>
  <c r="F145" i="33"/>
  <c r="J145" i="33"/>
  <c r="N145" i="33"/>
  <c r="C145" i="33"/>
  <c r="K145" i="33"/>
  <c r="D145" i="33"/>
  <c r="L145" i="33"/>
  <c r="G145" i="33"/>
  <c r="H145" i="33"/>
  <c r="O224" i="33"/>
  <c r="G24" i="33"/>
  <c r="M24" i="33"/>
  <c r="D29" i="40"/>
  <c r="P28" i="40"/>
  <c r="S15" i="32"/>
  <c r="S12" i="31"/>
  <c r="T16" i="5"/>
  <c r="L24" i="33"/>
  <c r="Q15" i="32"/>
  <c r="Q12" i="31"/>
  <c r="C185" i="33"/>
  <c r="G185" i="33"/>
  <c r="K185" i="33"/>
  <c r="D185" i="33"/>
  <c r="H185" i="33"/>
  <c r="L185" i="33"/>
  <c r="I185" i="33"/>
  <c r="J185" i="33"/>
  <c r="N185" i="33"/>
  <c r="E185" i="33"/>
  <c r="M185" i="33"/>
  <c r="F185" i="33"/>
  <c r="K24" i="33"/>
  <c r="N24" i="33"/>
  <c r="I24" i="33"/>
  <c r="O184" i="33"/>
  <c r="R226" i="33"/>
  <c r="R186" i="33"/>
  <c r="R106" i="33"/>
  <c r="R66" i="33"/>
  <c r="R146" i="33"/>
  <c r="O144" i="33"/>
  <c r="O23" i="33"/>
  <c r="U23" i="5" s="1"/>
  <c r="U16" i="5" s="1"/>
  <c r="O104" i="33"/>
  <c r="C105" i="33"/>
  <c r="G105" i="33"/>
  <c r="K105" i="33"/>
  <c r="D105" i="33"/>
  <c r="H105" i="33"/>
  <c r="L105" i="33"/>
  <c r="J105" i="33"/>
  <c r="E105" i="33"/>
  <c r="M105" i="33"/>
  <c r="I105" i="33"/>
  <c r="N105" i="33"/>
  <c r="F105" i="33"/>
  <c r="C65" i="33"/>
  <c r="G65" i="33"/>
  <c r="K65" i="33"/>
  <c r="D65" i="33"/>
  <c r="H65" i="33"/>
  <c r="L65" i="33"/>
  <c r="I65" i="33"/>
  <c r="J65" i="33"/>
  <c r="E65" i="33"/>
  <c r="M65" i="33"/>
  <c r="F65" i="33"/>
  <c r="N65" i="33"/>
  <c r="C225" i="33"/>
  <c r="G225" i="33"/>
  <c r="K225" i="33"/>
  <c r="D225" i="33"/>
  <c r="H225" i="33"/>
  <c r="L225" i="33"/>
  <c r="E225" i="33"/>
  <c r="I225" i="33"/>
  <c r="M225" i="33"/>
  <c r="F225" i="33"/>
  <c r="J225" i="33"/>
  <c r="N225" i="33"/>
  <c r="O64" i="33"/>
  <c r="C24" i="33"/>
  <c r="J24" i="33"/>
  <c r="E24" i="33"/>
  <c r="E25" i="23"/>
  <c r="E5" i="24" s="1"/>
  <c r="E4" i="24" s="1"/>
  <c r="E12" i="24" s="1"/>
  <c r="E25" i="27" s="1"/>
  <c r="F43" i="23"/>
  <c r="F44" i="23" s="1"/>
  <c r="F20" i="23" s="1"/>
  <c r="K37" i="27"/>
  <c r="K12" i="27"/>
  <c r="L21" i="27"/>
  <c r="L37" i="5"/>
  <c r="L36" i="5" s="1"/>
  <c r="L58" i="5" s="1"/>
  <c r="L62" i="5" s="1"/>
  <c r="L22" i="25"/>
  <c r="K35" i="25"/>
  <c r="K69" i="25" s="1"/>
  <c r="K12" i="25"/>
  <c r="D23" i="27"/>
  <c r="D29" i="32"/>
  <c r="D28" i="32" s="1"/>
  <c r="J15" i="35"/>
  <c r="N17" i="29"/>
  <c r="M9" i="35"/>
  <c r="M7" i="35" s="1"/>
  <c r="M9" i="34"/>
  <c r="O8" i="35"/>
  <c r="M8" i="34"/>
  <c r="L7" i="34"/>
  <c r="F30" i="32"/>
  <c r="C30" i="32" s="1"/>
  <c r="F14" i="34"/>
  <c r="C26" i="23"/>
  <c r="K12" i="35"/>
  <c r="J10" i="35"/>
  <c r="O11" i="35"/>
  <c r="K10" i="34" l="1"/>
  <c r="AA19" i="27"/>
  <c r="AA19" i="25"/>
  <c r="AE71" i="45"/>
  <c r="AB43" i="5"/>
  <c r="AD74" i="45"/>
  <c r="Z16" i="31"/>
  <c r="Z19" i="32"/>
  <c r="K15" i="34"/>
  <c r="K15" i="35"/>
  <c r="E23" i="27"/>
  <c r="E29" i="32"/>
  <c r="E28" i="32" s="1"/>
  <c r="E24" i="23"/>
  <c r="F25" i="33"/>
  <c r="I25" i="33"/>
  <c r="M25" i="33"/>
  <c r="K25" i="33"/>
  <c r="L25" i="33"/>
  <c r="G25" i="33"/>
  <c r="U15" i="25"/>
  <c r="U15" i="27"/>
  <c r="E106" i="33"/>
  <c r="I106" i="33"/>
  <c r="M106" i="33"/>
  <c r="F106" i="33"/>
  <c r="J106" i="33"/>
  <c r="N106" i="33"/>
  <c r="D106" i="33"/>
  <c r="L106" i="33"/>
  <c r="G106" i="33"/>
  <c r="K106" i="33"/>
  <c r="C106" i="33"/>
  <c r="H106" i="33"/>
  <c r="R227" i="33"/>
  <c r="R187" i="33"/>
  <c r="R147" i="33"/>
  <c r="R107" i="33"/>
  <c r="R67" i="33"/>
  <c r="E66" i="33"/>
  <c r="I66" i="33"/>
  <c r="M66" i="33"/>
  <c r="F66" i="33"/>
  <c r="J66" i="33"/>
  <c r="N66" i="33"/>
  <c r="C66" i="33"/>
  <c r="K66" i="33"/>
  <c r="D66" i="33"/>
  <c r="L66" i="33"/>
  <c r="G66" i="33"/>
  <c r="H66" i="33"/>
  <c r="O24" i="33"/>
  <c r="V23" i="5" s="1"/>
  <c r="V16" i="5" s="1"/>
  <c r="O225" i="33"/>
  <c r="E25" i="33"/>
  <c r="H25" i="33"/>
  <c r="O65" i="33"/>
  <c r="C25" i="33"/>
  <c r="E186" i="33"/>
  <c r="I186" i="33"/>
  <c r="M186" i="33"/>
  <c r="F186" i="33"/>
  <c r="J186" i="33"/>
  <c r="N186" i="33"/>
  <c r="C186" i="33"/>
  <c r="K186" i="33"/>
  <c r="D186" i="33"/>
  <c r="L186" i="33"/>
  <c r="G186" i="33"/>
  <c r="H186" i="33"/>
  <c r="T15" i="27"/>
  <c r="T15" i="25"/>
  <c r="P29" i="40"/>
  <c r="D30" i="40"/>
  <c r="N25" i="33"/>
  <c r="J25" i="33"/>
  <c r="D25" i="33"/>
  <c r="O105" i="33"/>
  <c r="C146" i="33"/>
  <c r="G146" i="33"/>
  <c r="K146" i="33"/>
  <c r="D146" i="33"/>
  <c r="H146" i="33"/>
  <c r="L146" i="33"/>
  <c r="E146" i="33"/>
  <c r="M146" i="33"/>
  <c r="F146" i="33"/>
  <c r="N146" i="33"/>
  <c r="I146" i="33"/>
  <c r="J146" i="33"/>
  <c r="E226" i="33"/>
  <c r="I226" i="33"/>
  <c r="M226" i="33"/>
  <c r="F226" i="33"/>
  <c r="J226" i="33"/>
  <c r="N226" i="33"/>
  <c r="C226" i="33"/>
  <c r="G226" i="33"/>
  <c r="K226" i="33"/>
  <c r="D226" i="33"/>
  <c r="H226" i="33"/>
  <c r="L226" i="33"/>
  <c r="O185" i="33"/>
  <c r="O145" i="33"/>
  <c r="F46" i="23"/>
  <c r="G41" i="23" s="1"/>
  <c r="G43" i="23" s="1"/>
  <c r="G44" i="23" s="1"/>
  <c r="G20" i="23" s="1"/>
  <c r="G19" i="23" s="1"/>
  <c r="L35" i="25"/>
  <c r="L69" i="25" s="1"/>
  <c r="L12" i="25"/>
  <c r="G14" i="34"/>
  <c r="H14" i="34" s="1"/>
  <c r="I14" i="34" s="1"/>
  <c r="J14" i="34" s="1"/>
  <c r="K14" i="34" s="1"/>
  <c r="L14" i="34" s="1"/>
  <c r="M14" i="34" s="1"/>
  <c r="N14" i="34" s="1"/>
  <c r="O14" i="34" s="1"/>
  <c r="P14" i="34" s="1"/>
  <c r="Q14" i="34" s="1"/>
  <c r="R14" i="34" s="1"/>
  <c r="S14" i="34" s="1"/>
  <c r="T14" i="34" s="1"/>
  <c r="U14" i="34" s="1"/>
  <c r="V14" i="34" s="1"/>
  <c r="W14" i="34" s="1"/>
  <c r="X14" i="34" s="1"/>
  <c r="Y14" i="34" s="1"/>
  <c r="Z14" i="34" s="1"/>
  <c r="AA14" i="34" s="1"/>
  <c r="AB14" i="34" s="1"/>
  <c r="AC14" i="34" s="1"/>
  <c r="AD14" i="34" s="1"/>
  <c r="AE14" i="34" s="1"/>
  <c r="AF14" i="34" s="1"/>
  <c r="AG14" i="34" s="1"/>
  <c r="AH14" i="34" s="1"/>
  <c r="AI14" i="34" s="1"/>
  <c r="AJ14" i="34" s="1"/>
  <c r="AK14" i="34" s="1"/>
  <c r="AL14" i="34" s="1"/>
  <c r="M22" i="25"/>
  <c r="M37" i="5"/>
  <c r="M36" i="5" s="1"/>
  <c r="M58" i="5" s="1"/>
  <c r="M62" i="5" s="1"/>
  <c r="M21" i="27"/>
  <c r="P8" i="35"/>
  <c r="O17" i="29"/>
  <c r="N9" i="34"/>
  <c r="N9" i="35"/>
  <c r="N7" i="35" s="1"/>
  <c r="L37" i="27"/>
  <c r="L12" i="27"/>
  <c r="F19" i="23"/>
  <c r="F25" i="23"/>
  <c r="N8" i="34"/>
  <c r="M7" i="34"/>
  <c r="M12" i="34"/>
  <c r="L10" i="34"/>
  <c r="P11" i="35"/>
  <c r="L12" i="35"/>
  <c r="K10" i="35"/>
  <c r="H35" i="23"/>
  <c r="G8" i="23"/>
  <c r="AB19" i="25" l="1"/>
  <c r="AB19" i="27"/>
  <c r="AF71" i="45"/>
  <c r="AE74" i="45"/>
  <c r="AC43" i="5"/>
  <c r="AA19" i="32"/>
  <c r="AA16" i="31"/>
  <c r="L15" i="34"/>
  <c r="L15" i="35"/>
  <c r="G46" i="23"/>
  <c r="H41" i="23" s="1"/>
  <c r="H43" i="23" s="1"/>
  <c r="H44" i="23" s="1"/>
  <c r="O186" i="33"/>
  <c r="O146" i="33"/>
  <c r="L26" i="33"/>
  <c r="N26" i="33"/>
  <c r="I26" i="33"/>
  <c r="C107" i="33"/>
  <c r="G107" i="33"/>
  <c r="K107" i="33"/>
  <c r="D107" i="33"/>
  <c r="H107" i="33"/>
  <c r="L107" i="33"/>
  <c r="F107" i="33"/>
  <c r="N107" i="33"/>
  <c r="I107" i="33"/>
  <c r="M107" i="33"/>
  <c r="E107" i="33"/>
  <c r="J107" i="33"/>
  <c r="O25" i="33"/>
  <c r="W23" i="5" s="1"/>
  <c r="W16" i="5" s="1"/>
  <c r="V15" i="27"/>
  <c r="V15" i="25"/>
  <c r="D26" i="33"/>
  <c r="J26" i="33"/>
  <c r="E26" i="33"/>
  <c r="E147" i="33"/>
  <c r="I147" i="33"/>
  <c r="M147" i="33"/>
  <c r="F147" i="33"/>
  <c r="J147" i="33"/>
  <c r="N147" i="33"/>
  <c r="G147" i="33"/>
  <c r="H147" i="33"/>
  <c r="C147" i="33"/>
  <c r="D147" i="33"/>
  <c r="K147" i="33"/>
  <c r="L147" i="33"/>
  <c r="O226" i="33"/>
  <c r="D31" i="40"/>
  <c r="P30" i="40"/>
  <c r="T12" i="31"/>
  <c r="T15" i="32"/>
  <c r="H26" i="33"/>
  <c r="K26" i="33"/>
  <c r="F26" i="33"/>
  <c r="C187" i="33"/>
  <c r="G187" i="33"/>
  <c r="K187" i="33"/>
  <c r="D187" i="33"/>
  <c r="H187" i="33"/>
  <c r="L187" i="33"/>
  <c r="E187" i="33"/>
  <c r="M187" i="33"/>
  <c r="F187" i="33"/>
  <c r="N187" i="33"/>
  <c r="I187" i="33"/>
  <c r="J187" i="33"/>
  <c r="U12" i="31"/>
  <c r="U15" i="32"/>
  <c r="R228" i="33"/>
  <c r="R188" i="33"/>
  <c r="R108" i="33"/>
  <c r="R148" i="33"/>
  <c r="R68" i="33"/>
  <c r="G26" i="33"/>
  <c r="O66" i="33"/>
  <c r="C26" i="33"/>
  <c r="M26" i="33"/>
  <c r="C67" i="33"/>
  <c r="G67" i="33"/>
  <c r="K67" i="33"/>
  <c r="D67" i="33"/>
  <c r="H67" i="33"/>
  <c r="L67" i="33"/>
  <c r="E67" i="33"/>
  <c r="M67" i="33"/>
  <c r="F67" i="33"/>
  <c r="N67" i="33"/>
  <c r="I67" i="33"/>
  <c r="J67" i="33"/>
  <c r="C227" i="33"/>
  <c r="G227" i="33"/>
  <c r="K227" i="33"/>
  <c r="D227" i="33"/>
  <c r="H227" i="33"/>
  <c r="L227" i="33"/>
  <c r="E227" i="33"/>
  <c r="I227" i="33"/>
  <c r="M227" i="33"/>
  <c r="F227" i="33"/>
  <c r="J227" i="33"/>
  <c r="N227" i="33"/>
  <c r="O106" i="33"/>
  <c r="C14" i="34"/>
  <c r="M12" i="25"/>
  <c r="M35" i="25"/>
  <c r="M69" i="25" s="1"/>
  <c r="N22" i="25"/>
  <c r="N21" i="27"/>
  <c r="N37" i="5"/>
  <c r="N36" i="5" s="1"/>
  <c r="N58" i="5" s="1"/>
  <c r="N62" i="5" s="1"/>
  <c r="M37" i="27"/>
  <c r="M12" i="27"/>
  <c r="F5" i="24"/>
  <c r="F4" i="24" s="1"/>
  <c r="F12" i="24" s="1"/>
  <c r="F24" i="23"/>
  <c r="Q8" i="35"/>
  <c r="O8" i="34"/>
  <c r="N7" i="34"/>
  <c r="P17" i="29"/>
  <c r="O9" i="35"/>
  <c r="O7" i="35" s="1"/>
  <c r="O9" i="34"/>
  <c r="Q11" i="35"/>
  <c r="M12" i="35"/>
  <c r="L10" i="35"/>
  <c r="M10" i="34"/>
  <c r="N12" i="34"/>
  <c r="H36" i="23"/>
  <c r="G7" i="23"/>
  <c r="G25" i="23"/>
  <c r="AG71" i="45" l="1"/>
  <c r="AF74" i="45"/>
  <c r="AD43" i="5"/>
  <c r="AB19" i="32"/>
  <c r="AB16" i="31"/>
  <c r="AC19" i="27"/>
  <c r="AC19" i="25"/>
  <c r="M15" i="34"/>
  <c r="I27" i="33"/>
  <c r="E27" i="33"/>
  <c r="R229" i="33"/>
  <c r="R189" i="33"/>
  <c r="R149" i="33"/>
  <c r="R109" i="33"/>
  <c r="R69" i="33"/>
  <c r="W15" i="27"/>
  <c r="W15" i="25"/>
  <c r="O107" i="33"/>
  <c r="C148" i="33"/>
  <c r="G148" i="33"/>
  <c r="K148" i="33"/>
  <c r="D148" i="33"/>
  <c r="H148" i="33"/>
  <c r="L148" i="33"/>
  <c r="I148" i="33"/>
  <c r="J148" i="33"/>
  <c r="E148" i="33"/>
  <c r="F148" i="33"/>
  <c r="M148" i="33"/>
  <c r="N148" i="33"/>
  <c r="N27" i="33"/>
  <c r="L27" i="33"/>
  <c r="G27" i="33"/>
  <c r="O26" i="33"/>
  <c r="X23" i="5" s="1"/>
  <c r="X16" i="5" s="1"/>
  <c r="E108" i="33"/>
  <c r="I108" i="33"/>
  <c r="M108" i="33"/>
  <c r="F108" i="33"/>
  <c r="J108" i="33"/>
  <c r="N108" i="33"/>
  <c r="H108" i="33"/>
  <c r="C108" i="33"/>
  <c r="K108" i="33"/>
  <c r="D108" i="33"/>
  <c r="G108" i="33"/>
  <c r="L108" i="33"/>
  <c r="O187" i="33"/>
  <c r="P31" i="40"/>
  <c r="D32" i="40"/>
  <c r="C36" i="31"/>
  <c r="O227" i="33"/>
  <c r="F27" i="33"/>
  <c r="H27" i="33"/>
  <c r="O67" i="33"/>
  <c r="C27" i="33"/>
  <c r="E188" i="33"/>
  <c r="I188" i="33"/>
  <c r="M188" i="33"/>
  <c r="F188" i="33"/>
  <c r="J188" i="33"/>
  <c r="N188" i="33"/>
  <c r="G188" i="33"/>
  <c r="H188" i="33"/>
  <c r="D188" i="33"/>
  <c r="K188" i="33"/>
  <c r="C188" i="33"/>
  <c r="L188" i="33"/>
  <c r="O147" i="33"/>
  <c r="K27" i="33"/>
  <c r="J27" i="33"/>
  <c r="M27" i="33"/>
  <c r="D27" i="33"/>
  <c r="E68" i="33"/>
  <c r="I68" i="33"/>
  <c r="M68" i="33"/>
  <c r="F68" i="33"/>
  <c r="J68" i="33"/>
  <c r="N68" i="33"/>
  <c r="G68" i="33"/>
  <c r="H68" i="33"/>
  <c r="C68" i="33"/>
  <c r="K68" i="33"/>
  <c r="D68" i="33"/>
  <c r="L68" i="33"/>
  <c r="E228" i="33"/>
  <c r="I228" i="33"/>
  <c r="M228" i="33"/>
  <c r="F228" i="33"/>
  <c r="J228" i="33"/>
  <c r="N228" i="33"/>
  <c r="C228" i="33"/>
  <c r="G228" i="33"/>
  <c r="K228" i="33"/>
  <c r="D228" i="33"/>
  <c r="H228" i="33"/>
  <c r="L228" i="33"/>
  <c r="V15" i="32"/>
  <c r="V12" i="31"/>
  <c r="M15" i="35"/>
  <c r="Q17" i="29"/>
  <c r="P9" i="35"/>
  <c r="P7" i="35" s="1"/>
  <c r="P9" i="34"/>
  <c r="N12" i="25"/>
  <c r="N35" i="25"/>
  <c r="N69" i="25" s="1"/>
  <c r="P8" i="34"/>
  <c r="O7" i="34"/>
  <c r="O22" i="25"/>
  <c r="O37" i="5"/>
  <c r="O36" i="5" s="1"/>
  <c r="O58" i="5" s="1"/>
  <c r="O62" i="5" s="1"/>
  <c r="O21" i="27"/>
  <c r="N12" i="27"/>
  <c r="N37" i="27"/>
  <c r="R8" i="35"/>
  <c r="N12" i="35"/>
  <c r="M10" i="35"/>
  <c r="O12" i="34"/>
  <c r="N10" i="34"/>
  <c r="R11" i="35"/>
  <c r="H8" i="23"/>
  <c r="H38" i="23"/>
  <c r="I33" i="23" s="1"/>
  <c r="G24" i="23"/>
  <c r="G5" i="24"/>
  <c r="F25" i="27"/>
  <c r="H20" i="23"/>
  <c r="H46" i="23"/>
  <c r="I41" i="23" s="1"/>
  <c r="AC16" i="31" l="1"/>
  <c r="AC19" i="32"/>
  <c r="AD19" i="25"/>
  <c r="AD19" i="27"/>
  <c r="AH71" i="45"/>
  <c r="AE43" i="5"/>
  <c r="AG74" i="45"/>
  <c r="N15" i="34"/>
  <c r="O188" i="33"/>
  <c r="O27" i="33"/>
  <c r="Y23" i="5" s="1"/>
  <c r="Y16" i="5" s="1"/>
  <c r="Y15" i="27" s="1"/>
  <c r="O68" i="33"/>
  <c r="C28" i="33"/>
  <c r="O228" i="33"/>
  <c r="D28" i="33"/>
  <c r="G28" i="33"/>
  <c r="M28" i="33"/>
  <c r="R230" i="33"/>
  <c r="R190" i="33"/>
  <c r="R110" i="33"/>
  <c r="R150" i="33"/>
  <c r="R70" i="33"/>
  <c r="W12" i="31"/>
  <c r="W15" i="32"/>
  <c r="C189" i="33"/>
  <c r="G189" i="33"/>
  <c r="K189" i="33"/>
  <c r="D189" i="33"/>
  <c r="H189" i="33"/>
  <c r="L189" i="33"/>
  <c r="I189" i="33"/>
  <c r="J189" i="33"/>
  <c r="F189" i="33"/>
  <c r="M189" i="33"/>
  <c r="E189" i="33"/>
  <c r="N189" i="33"/>
  <c r="E28" i="33"/>
  <c r="K28" i="33"/>
  <c r="N28" i="33"/>
  <c r="I28" i="33"/>
  <c r="O148" i="33"/>
  <c r="E69" i="33"/>
  <c r="I69" i="33"/>
  <c r="M69" i="33"/>
  <c r="F69" i="33"/>
  <c r="J69" i="33"/>
  <c r="N69" i="33"/>
  <c r="C69" i="33"/>
  <c r="G69" i="33"/>
  <c r="K69" i="33"/>
  <c r="D69" i="33"/>
  <c r="H69" i="33"/>
  <c r="L69" i="33"/>
  <c r="C229" i="33"/>
  <c r="G229" i="33"/>
  <c r="K229" i="33"/>
  <c r="D229" i="33"/>
  <c r="H229" i="33"/>
  <c r="L229" i="33"/>
  <c r="E229" i="33"/>
  <c r="I229" i="33"/>
  <c r="M229" i="33"/>
  <c r="F229" i="33"/>
  <c r="J229" i="33"/>
  <c r="N229" i="33"/>
  <c r="J28" i="33"/>
  <c r="O163" i="33"/>
  <c r="O83" i="33"/>
  <c r="O43" i="33"/>
  <c r="O203" i="33"/>
  <c r="O123" i="33"/>
  <c r="O108" i="33"/>
  <c r="X15" i="25"/>
  <c r="X15" i="27"/>
  <c r="D109" i="33"/>
  <c r="G109" i="33"/>
  <c r="K109" i="33"/>
  <c r="C109" i="33"/>
  <c r="H109" i="33"/>
  <c r="L109" i="33"/>
  <c r="J109" i="33"/>
  <c r="E109" i="33"/>
  <c r="M109" i="33"/>
  <c r="F109" i="33"/>
  <c r="N109" i="33"/>
  <c r="I109" i="33"/>
  <c r="L28" i="33"/>
  <c r="H28" i="33"/>
  <c r="F28" i="33"/>
  <c r="D33" i="40"/>
  <c r="P32" i="40"/>
  <c r="E149" i="33"/>
  <c r="I149" i="33"/>
  <c r="M149" i="33"/>
  <c r="F149" i="33"/>
  <c r="J149" i="33"/>
  <c r="N149" i="33"/>
  <c r="C149" i="33"/>
  <c r="K149" i="33"/>
  <c r="D149" i="33"/>
  <c r="L149" i="33"/>
  <c r="G149" i="33"/>
  <c r="H149" i="33"/>
  <c r="S8" i="35"/>
  <c r="P22" i="25"/>
  <c r="P37" i="5"/>
  <c r="P36" i="5" s="1"/>
  <c r="P58" i="5" s="1"/>
  <c r="P62" i="5" s="1"/>
  <c r="P21" i="27"/>
  <c r="O12" i="25"/>
  <c r="O35" i="25"/>
  <c r="R17" i="29"/>
  <c r="Q9" i="34"/>
  <c r="Q9" i="35"/>
  <c r="Q7" i="35" s="1"/>
  <c r="N15" i="35"/>
  <c r="O12" i="27"/>
  <c r="O37" i="27"/>
  <c r="Q8" i="34"/>
  <c r="P7" i="34"/>
  <c r="P12" i="34"/>
  <c r="O10" i="34"/>
  <c r="S11" i="35"/>
  <c r="O12" i="35"/>
  <c r="N10" i="35"/>
  <c r="H19" i="23"/>
  <c r="I43" i="23"/>
  <c r="I44" i="23" s="1"/>
  <c r="I20" i="23" s="1"/>
  <c r="I19" i="23" s="1"/>
  <c r="H7" i="23"/>
  <c r="H25" i="23"/>
  <c r="F29" i="32"/>
  <c r="F23" i="27"/>
  <c r="G4" i="24"/>
  <c r="I35" i="23"/>
  <c r="I36" i="23" s="1"/>
  <c r="I8" i="23" s="1"/>
  <c r="O15" i="34" l="1"/>
  <c r="AE19" i="27"/>
  <c r="AE19" i="25"/>
  <c r="AD16" i="31"/>
  <c r="AD19" i="32"/>
  <c r="AI71" i="45"/>
  <c r="AF43" i="5"/>
  <c r="AH74" i="45"/>
  <c r="Y15" i="25"/>
  <c r="O149" i="33"/>
  <c r="P33" i="40"/>
  <c r="D34" i="40"/>
  <c r="L29" i="33"/>
  <c r="G29" i="33"/>
  <c r="F29" i="33"/>
  <c r="O189" i="33"/>
  <c r="C70" i="33"/>
  <c r="G70" i="33"/>
  <c r="K70" i="33"/>
  <c r="D70" i="33"/>
  <c r="H70" i="33"/>
  <c r="L70" i="33"/>
  <c r="E70" i="33"/>
  <c r="I70" i="33"/>
  <c r="M70" i="33"/>
  <c r="F70" i="33"/>
  <c r="J70" i="33"/>
  <c r="N70" i="33"/>
  <c r="E230" i="33"/>
  <c r="I230" i="33"/>
  <c r="M230" i="33"/>
  <c r="F230" i="33"/>
  <c r="J230" i="33"/>
  <c r="N230" i="33"/>
  <c r="C230" i="33"/>
  <c r="G230" i="33"/>
  <c r="K230" i="33"/>
  <c r="D230" i="33"/>
  <c r="H230" i="33"/>
  <c r="L230" i="33"/>
  <c r="O109" i="33"/>
  <c r="X12" i="31"/>
  <c r="X15" i="32"/>
  <c r="F206" i="33"/>
  <c r="D207" i="33"/>
  <c r="D7" i="33" s="1"/>
  <c r="E207" i="33"/>
  <c r="E7" i="33" s="1"/>
  <c r="M207" i="33"/>
  <c r="M7" i="33" s="1"/>
  <c r="I207" i="33"/>
  <c r="I7" i="33" s="1"/>
  <c r="N206" i="33"/>
  <c r="F207" i="33"/>
  <c r="F7" i="33" s="1"/>
  <c r="C207" i="33"/>
  <c r="K206" i="33"/>
  <c r="H207" i="33"/>
  <c r="H7" i="33" s="1"/>
  <c r="D206" i="33"/>
  <c r="L206" i="33"/>
  <c r="M206" i="33"/>
  <c r="G207" i="33"/>
  <c r="G7" i="33" s="1"/>
  <c r="K207" i="33"/>
  <c r="K7" i="33" s="1"/>
  <c r="H206" i="33"/>
  <c r="L207" i="33"/>
  <c r="L7" i="33" s="1"/>
  <c r="G206" i="33"/>
  <c r="J206" i="33"/>
  <c r="J207" i="33"/>
  <c r="J7" i="33" s="1"/>
  <c r="E206" i="33"/>
  <c r="N207" i="33"/>
  <c r="N7" i="33" s="1"/>
  <c r="I206" i="33"/>
  <c r="C206" i="33"/>
  <c r="Y12" i="31"/>
  <c r="Y15" i="32"/>
  <c r="H29" i="33"/>
  <c r="O69" i="33"/>
  <c r="C29" i="33"/>
  <c r="M29" i="33"/>
  <c r="C150" i="33"/>
  <c r="G150" i="33"/>
  <c r="K150" i="33"/>
  <c r="D150" i="33"/>
  <c r="H150" i="33"/>
  <c r="L150" i="33"/>
  <c r="E150" i="33"/>
  <c r="M150" i="33"/>
  <c r="F150" i="33"/>
  <c r="N150" i="33"/>
  <c r="I150" i="33"/>
  <c r="J150" i="33"/>
  <c r="D46" i="33"/>
  <c r="E46" i="33"/>
  <c r="J46" i="33"/>
  <c r="H46" i="33"/>
  <c r="M46" i="33"/>
  <c r="I46" i="33"/>
  <c r="G46" i="33"/>
  <c r="C46" i="33"/>
  <c r="L46" i="33"/>
  <c r="K46" i="33"/>
  <c r="F46" i="33"/>
  <c r="N46" i="33"/>
  <c r="D29" i="33"/>
  <c r="N29" i="33"/>
  <c r="I29" i="33"/>
  <c r="E110" i="33"/>
  <c r="I110" i="33"/>
  <c r="M110" i="33"/>
  <c r="F110" i="33"/>
  <c r="J110" i="33"/>
  <c r="N110" i="33"/>
  <c r="D110" i="33"/>
  <c r="L110" i="33"/>
  <c r="G110" i="33"/>
  <c r="H110" i="33"/>
  <c r="C110" i="33"/>
  <c r="K110" i="33"/>
  <c r="R231" i="33"/>
  <c r="R151" i="33"/>
  <c r="R191" i="33"/>
  <c r="R71" i="33"/>
  <c r="R111" i="33"/>
  <c r="O229" i="33"/>
  <c r="K29" i="33"/>
  <c r="J29" i="33"/>
  <c r="E29" i="33"/>
  <c r="E190" i="33"/>
  <c r="I190" i="33"/>
  <c r="M190" i="33"/>
  <c r="F190" i="33"/>
  <c r="J190" i="33"/>
  <c r="N190" i="33"/>
  <c r="C190" i="33"/>
  <c r="K190" i="33"/>
  <c r="D190" i="33"/>
  <c r="L190" i="33"/>
  <c r="H190" i="33"/>
  <c r="G190" i="33"/>
  <c r="O28" i="33"/>
  <c r="Z23" i="5" s="1"/>
  <c r="Z16" i="5" s="1"/>
  <c r="Q21" i="27"/>
  <c r="Q37" i="5"/>
  <c r="Q36" i="5" s="1"/>
  <c r="Q58" i="5" s="1"/>
  <c r="Q62" i="5" s="1"/>
  <c r="Q22" i="25"/>
  <c r="P37" i="27"/>
  <c r="P15" i="34" s="1"/>
  <c r="P12" i="27"/>
  <c r="T8" i="35"/>
  <c r="R8" i="34"/>
  <c r="Q7" i="34"/>
  <c r="O69" i="25"/>
  <c r="O15" i="35"/>
  <c r="P35" i="25"/>
  <c r="P12" i="25"/>
  <c r="S17" i="29"/>
  <c r="R9" i="35"/>
  <c r="R7" i="35" s="1"/>
  <c r="R9" i="34"/>
  <c r="T11" i="35"/>
  <c r="P12" i="35"/>
  <c r="O10" i="35"/>
  <c r="Q12" i="34"/>
  <c r="P10" i="34"/>
  <c r="I38" i="23"/>
  <c r="J33" i="23" s="1"/>
  <c r="J35" i="23" s="1"/>
  <c r="J36" i="23" s="1"/>
  <c r="J8" i="23" s="1"/>
  <c r="I46" i="23"/>
  <c r="J41" i="23" s="1"/>
  <c r="J43" i="23" s="1"/>
  <c r="J44" i="23" s="1"/>
  <c r="J20" i="23" s="1"/>
  <c r="J19" i="23" s="1"/>
  <c r="I7" i="23"/>
  <c r="I25" i="23"/>
  <c r="H24" i="23"/>
  <c r="H5" i="24"/>
  <c r="F28" i="32"/>
  <c r="G12" i="24"/>
  <c r="AJ71" i="45" l="1"/>
  <c r="AG43" i="5"/>
  <c r="AI74" i="45"/>
  <c r="AF19" i="25"/>
  <c r="AF19" i="27"/>
  <c r="AE19" i="32"/>
  <c r="AE16" i="31"/>
  <c r="C191" i="33"/>
  <c r="G191" i="33"/>
  <c r="K191" i="33"/>
  <c r="D191" i="33"/>
  <c r="H191" i="33"/>
  <c r="L191" i="33"/>
  <c r="E191" i="33"/>
  <c r="M191" i="33"/>
  <c r="F191" i="33"/>
  <c r="N191" i="33"/>
  <c r="J191" i="33"/>
  <c r="I191" i="33"/>
  <c r="F6" i="33"/>
  <c r="G6" i="33"/>
  <c r="J6" i="33"/>
  <c r="M30" i="33"/>
  <c r="H30" i="33"/>
  <c r="O70" i="33"/>
  <c r="C30" i="33"/>
  <c r="Z15" i="25"/>
  <c r="Z15" i="27"/>
  <c r="E151" i="33"/>
  <c r="I151" i="33"/>
  <c r="M151" i="33"/>
  <c r="F151" i="33"/>
  <c r="J151" i="33"/>
  <c r="N151" i="33"/>
  <c r="G151" i="33"/>
  <c r="H151" i="33"/>
  <c r="K151" i="33"/>
  <c r="L151" i="33"/>
  <c r="C151" i="33"/>
  <c r="D151" i="33"/>
  <c r="O110" i="33"/>
  <c r="K6" i="33"/>
  <c r="I6" i="33"/>
  <c r="E6" i="33"/>
  <c r="N30" i="33"/>
  <c r="I30" i="33"/>
  <c r="D30" i="33"/>
  <c r="D35" i="40"/>
  <c r="P34" i="40"/>
  <c r="C111" i="33"/>
  <c r="G111" i="33"/>
  <c r="K111" i="33"/>
  <c r="D111" i="33"/>
  <c r="H111" i="33"/>
  <c r="L111" i="33"/>
  <c r="F111" i="33"/>
  <c r="N111" i="33"/>
  <c r="I111" i="33"/>
  <c r="J111" i="33"/>
  <c r="E111" i="33"/>
  <c r="M111" i="33"/>
  <c r="C231" i="33"/>
  <c r="G231" i="33"/>
  <c r="K231" i="33"/>
  <c r="D231" i="33"/>
  <c r="H231" i="33"/>
  <c r="L231" i="33"/>
  <c r="E231" i="33"/>
  <c r="I231" i="33"/>
  <c r="M231" i="33"/>
  <c r="F231" i="33"/>
  <c r="J231" i="33"/>
  <c r="N231" i="33"/>
  <c r="L6" i="33"/>
  <c r="M6" i="33"/>
  <c r="D6" i="33"/>
  <c r="O29" i="33"/>
  <c r="AA23" i="5" s="1"/>
  <c r="AA16" i="5" s="1"/>
  <c r="O206" i="33"/>
  <c r="O207" i="33"/>
  <c r="O7" i="33" s="1"/>
  <c r="C7" i="33"/>
  <c r="O230" i="33"/>
  <c r="J30" i="33"/>
  <c r="E30" i="33"/>
  <c r="K30" i="33"/>
  <c r="R232" i="33"/>
  <c r="R192" i="33"/>
  <c r="R152" i="33"/>
  <c r="R112" i="33"/>
  <c r="R72" i="33"/>
  <c r="O190" i="33"/>
  <c r="F71" i="33"/>
  <c r="J71" i="33"/>
  <c r="N71" i="33"/>
  <c r="C71" i="33"/>
  <c r="G71" i="33"/>
  <c r="K71" i="33"/>
  <c r="D71" i="33"/>
  <c r="H71" i="33"/>
  <c r="L71" i="33"/>
  <c r="E71" i="33"/>
  <c r="I71" i="33"/>
  <c r="M71" i="33"/>
  <c r="N6" i="33"/>
  <c r="C6" i="33"/>
  <c r="O46" i="33"/>
  <c r="H6" i="33"/>
  <c r="O150" i="33"/>
  <c r="F30" i="33"/>
  <c r="L30" i="33"/>
  <c r="G30" i="33"/>
  <c r="P15" i="35"/>
  <c r="P69" i="25"/>
  <c r="S8" i="34"/>
  <c r="R7" i="34"/>
  <c r="R22" i="25"/>
  <c r="R37" i="5"/>
  <c r="R36" i="5" s="1"/>
  <c r="R58" i="5" s="1"/>
  <c r="R62" i="5" s="1"/>
  <c r="R21" i="27"/>
  <c r="Q35" i="25"/>
  <c r="Q12" i="25"/>
  <c r="T17" i="29"/>
  <c r="S9" i="35"/>
  <c r="S7" i="35" s="1"/>
  <c r="S9" i="34"/>
  <c r="U8" i="35"/>
  <c r="Q37" i="27"/>
  <c r="Q15" i="34" s="1"/>
  <c r="Q12" i="27"/>
  <c r="Q12" i="35"/>
  <c r="P10" i="35"/>
  <c r="Q10" i="34"/>
  <c r="R12" i="34"/>
  <c r="U11" i="35"/>
  <c r="I24" i="23"/>
  <c r="I5" i="24"/>
  <c r="I4" i="24" s="1"/>
  <c r="I12" i="24" s="1"/>
  <c r="I25" i="27" s="1"/>
  <c r="J38" i="23"/>
  <c r="K33" i="23" s="1"/>
  <c r="J46" i="23"/>
  <c r="K41" i="23" s="1"/>
  <c r="H4" i="24"/>
  <c r="G25" i="27"/>
  <c r="J7" i="23"/>
  <c r="J25" i="23"/>
  <c r="AF19" i="32" l="1"/>
  <c r="AF16" i="31"/>
  <c r="AG19" i="25"/>
  <c r="AG19" i="27"/>
  <c r="AK71" i="45"/>
  <c r="AH43" i="5"/>
  <c r="AJ74" i="45"/>
  <c r="D31" i="33"/>
  <c r="I31" i="33"/>
  <c r="N31" i="33"/>
  <c r="K31" i="33"/>
  <c r="L31" i="33"/>
  <c r="G31" i="33"/>
  <c r="F31" i="33"/>
  <c r="E31" i="33"/>
  <c r="J31" i="33"/>
  <c r="M31" i="33"/>
  <c r="H31" i="33"/>
  <c r="O6" i="33"/>
  <c r="C152" i="33"/>
  <c r="G152" i="33"/>
  <c r="K152" i="33"/>
  <c r="D152" i="33"/>
  <c r="H152" i="33"/>
  <c r="L152" i="33"/>
  <c r="I152" i="33"/>
  <c r="J152" i="33"/>
  <c r="M152" i="33"/>
  <c r="N152" i="33"/>
  <c r="E152" i="33"/>
  <c r="F152" i="33"/>
  <c r="O30" i="33"/>
  <c r="AB23" i="5" s="1"/>
  <c r="AB16" i="5" s="1"/>
  <c r="O71" i="33"/>
  <c r="C31" i="33"/>
  <c r="E192" i="33"/>
  <c r="I192" i="33"/>
  <c r="F192" i="33"/>
  <c r="J192" i="33"/>
  <c r="G192" i="33"/>
  <c r="M192" i="33"/>
  <c r="H192" i="33"/>
  <c r="N192" i="33"/>
  <c r="L192" i="33"/>
  <c r="C192" i="33"/>
  <c r="K192" i="33"/>
  <c r="D192" i="33"/>
  <c r="AA15" i="25"/>
  <c r="AA15" i="27"/>
  <c r="R233" i="33"/>
  <c r="R153" i="33"/>
  <c r="R193" i="33"/>
  <c r="R113" i="33"/>
  <c r="R73" i="33"/>
  <c r="Z15" i="32"/>
  <c r="Z12" i="31"/>
  <c r="D72" i="33"/>
  <c r="H72" i="33"/>
  <c r="L72" i="33"/>
  <c r="E72" i="33"/>
  <c r="I72" i="33"/>
  <c r="M72" i="33"/>
  <c r="F72" i="33"/>
  <c r="J72" i="33"/>
  <c r="N72" i="33"/>
  <c r="C72" i="33"/>
  <c r="G72" i="33"/>
  <c r="K72" i="33"/>
  <c r="E232" i="33"/>
  <c r="I232" i="33"/>
  <c r="M232" i="33"/>
  <c r="F232" i="33"/>
  <c r="J232" i="33"/>
  <c r="N232" i="33"/>
  <c r="C232" i="33"/>
  <c r="G232" i="33"/>
  <c r="K232" i="33"/>
  <c r="D232" i="33"/>
  <c r="H232" i="33"/>
  <c r="L232" i="33"/>
  <c r="P35" i="40"/>
  <c r="D36" i="40"/>
  <c r="O151" i="33"/>
  <c r="O191" i="33"/>
  <c r="E112" i="33"/>
  <c r="I112" i="33"/>
  <c r="M112" i="33"/>
  <c r="F112" i="33"/>
  <c r="J112" i="33"/>
  <c r="N112" i="33"/>
  <c r="H112" i="33"/>
  <c r="C112" i="33"/>
  <c r="K112" i="33"/>
  <c r="D112" i="33"/>
  <c r="L112" i="33"/>
  <c r="G112" i="33"/>
  <c r="O231" i="33"/>
  <c r="O111" i="33"/>
  <c r="Q69" i="25"/>
  <c r="Q15" i="35"/>
  <c r="S37" i="5"/>
  <c r="S36" i="5" s="1"/>
  <c r="S58" i="5" s="1"/>
  <c r="S62" i="5" s="1"/>
  <c r="S22" i="25"/>
  <c r="S21" i="27"/>
  <c r="R12" i="27"/>
  <c r="R37" i="27"/>
  <c r="R15" i="34" s="1"/>
  <c r="T8" i="34"/>
  <c r="S7" i="34"/>
  <c r="V8" i="35"/>
  <c r="U17" i="29"/>
  <c r="T9" i="34"/>
  <c r="T9" i="35"/>
  <c r="T7" i="35" s="1"/>
  <c r="R12" i="25"/>
  <c r="R35" i="25"/>
  <c r="S12" i="34"/>
  <c r="R10" i="34"/>
  <c r="V11" i="35"/>
  <c r="R12" i="35"/>
  <c r="Q10" i="35"/>
  <c r="J5" i="24"/>
  <c r="J4" i="24" s="1"/>
  <c r="J12" i="24" s="1"/>
  <c r="J25" i="27" s="1"/>
  <c r="J24" i="23"/>
  <c r="H12" i="24"/>
  <c r="K43" i="23"/>
  <c r="K44" i="23" s="1"/>
  <c r="K20" i="23" s="1"/>
  <c r="K19" i="23" s="1"/>
  <c r="K35" i="23"/>
  <c r="K36" i="23" s="1"/>
  <c r="K8" i="23" s="1"/>
  <c r="G29" i="32"/>
  <c r="G23" i="27"/>
  <c r="I29" i="32"/>
  <c r="I28" i="32" s="1"/>
  <c r="I23" i="27"/>
  <c r="AL71" i="45" l="1"/>
  <c r="AI43" i="5"/>
  <c r="AK74" i="45"/>
  <c r="AG16" i="31"/>
  <c r="AG19" i="32"/>
  <c r="AH19" i="25"/>
  <c r="AH19" i="27"/>
  <c r="O112" i="33"/>
  <c r="D37" i="40"/>
  <c r="P36" i="40"/>
  <c r="K32" i="33"/>
  <c r="J32" i="33"/>
  <c r="E32" i="33"/>
  <c r="F73" i="33"/>
  <c r="J73" i="33"/>
  <c r="N73" i="33"/>
  <c r="C73" i="33"/>
  <c r="G73" i="33"/>
  <c r="K73" i="33"/>
  <c r="D73" i="33"/>
  <c r="H73" i="33"/>
  <c r="L73" i="33"/>
  <c r="E73" i="33"/>
  <c r="I73" i="33"/>
  <c r="M73" i="33"/>
  <c r="C233" i="33"/>
  <c r="G233" i="33"/>
  <c r="K233" i="33"/>
  <c r="D233" i="33"/>
  <c r="H233" i="33"/>
  <c r="L233" i="33"/>
  <c r="E233" i="33"/>
  <c r="I233" i="33"/>
  <c r="M233" i="33"/>
  <c r="F233" i="33"/>
  <c r="J233" i="33"/>
  <c r="N233" i="33"/>
  <c r="R234" i="33"/>
  <c r="R194" i="33"/>
  <c r="R114" i="33"/>
  <c r="R154" i="33"/>
  <c r="R74" i="33"/>
  <c r="O232" i="33"/>
  <c r="G32" i="33"/>
  <c r="F32" i="33"/>
  <c r="L32" i="33"/>
  <c r="C113" i="33"/>
  <c r="G113" i="33"/>
  <c r="K113" i="33"/>
  <c r="D113" i="33"/>
  <c r="H113" i="33"/>
  <c r="L113" i="33"/>
  <c r="J113" i="33"/>
  <c r="E113" i="33"/>
  <c r="M113" i="33"/>
  <c r="F113" i="33"/>
  <c r="N113" i="33"/>
  <c r="I113" i="33"/>
  <c r="O31" i="33"/>
  <c r="AC23" i="5" s="1"/>
  <c r="AC16" i="5" s="1"/>
  <c r="C32" i="33"/>
  <c r="O72" i="33"/>
  <c r="M32" i="33"/>
  <c r="H32" i="33"/>
  <c r="C193" i="33"/>
  <c r="G193" i="33"/>
  <c r="K193" i="33"/>
  <c r="D193" i="33"/>
  <c r="H193" i="33"/>
  <c r="L193" i="33"/>
  <c r="F193" i="33"/>
  <c r="N193" i="33"/>
  <c r="I193" i="33"/>
  <c r="E193" i="33"/>
  <c r="J193" i="33"/>
  <c r="M193" i="33"/>
  <c r="AA12" i="31"/>
  <c r="AA15" i="32"/>
  <c r="O192" i="33"/>
  <c r="O152" i="33"/>
  <c r="N32" i="33"/>
  <c r="I32" i="33"/>
  <c r="D32" i="33"/>
  <c r="E153" i="33"/>
  <c r="I153" i="33"/>
  <c r="M153" i="33"/>
  <c r="F153" i="33"/>
  <c r="J153" i="33"/>
  <c r="N153" i="33"/>
  <c r="C153" i="33"/>
  <c r="K153" i="33"/>
  <c r="D153" i="33"/>
  <c r="L153" i="33"/>
  <c r="G153" i="33"/>
  <c r="H153" i="33"/>
  <c r="AB15" i="27"/>
  <c r="AB15" i="25"/>
  <c r="V17" i="29"/>
  <c r="U9" i="35"/>
  <c r="U7" i="35" s="1"/>
  <c r="U9" i="34"/>
  <c r="U8" i="34"/>
  <c r="T7" i="34"/>
  <c r="S12" i="25"/>
  <c r="S35" i="25"/>
  <c r="W8" i="35"/>
  <c r="R15" i="35"/>
  <c r="R69" i="25"/>
  <c r="T37" i="5"/>
  <c r="T36" i="5" s="1"/>
  <c r="T58" i="5" s="1"/>
  <c r="T62" i="5" s="1"/>
  <c r="T21" i="27"/>
  <c r="T22" i="25"/>
  <c r="S12" i="27"/>
  <c r="S37" i="27"/>
  <c r="S15" i="34" s="1"/>
  <c r="W11" i="35"/>
  <c r="K38" i="23"/>
  <c r="L33" i="23" s="1"/>
  <c r="L35" i="23" s="1"/>
  <c r="L36" i="23" s="1"/>
  <c r="L8" i="23" s="1"/>
  <c r="S12" i="35"/>
  <c r="R10" i="35"/>
  <c r="S10" i="34"/>
  <c r="T12" i="34"/>
  <c r="K46" i="23"/>
  <c r="L41" i="23" s="1"/>
  <c r="L43" i="23" s="1"/>
  <c r="L44" i="23" s="1"/>
  <c r="L20" i="23" s="1"/>
  <c r="L19" i="23" s="1"/>
  <c r="K7" i="23"/>
  <c r="K25" i="23"/>
  <c r="G28" i="32"/>
  <c r="H25" i="27"/>
  <c r="J23" i="27"/>
  <c r="J29" i="32"/>
  <c r="J28" i="32" s="1"/>
  <c r="AI19" i="27" l="1"/>
  <c r="AI19" i="25"/>
  <c r="AH19" i="32"/>
  <c r="AH16" i="31"/>
  <c r="AM71" i="45"/>
  <c r="AJ43" i="5"/>
  <c r="AL74" i="45"/>
  <c r="E194" i="33"/>
  <c r="I194" i="33"/>
  <c r="M194" i="33"/>
  <c r="F194" i="33"/>
  <c r="J194" i="33"/>
  <c r="N194" i="33"/>
  <c r="H194" i="33"/>
  <c r="C194" i="33"/>
  <c r="K194" i="33"/>
  <c r="D194" i="33"/>
  <c r="G194" i="33"/>
  <c r="L194" i="33"/>
  <c r="E33" i="33"/>
  <c r="K33" i="33"/>
  <c r="J33" i="33"/>
  <c r="P37" i="40"/>
  <c r="D38" i="40"/>
  <c r="AB12" i="31"/>
  <c r="AB15" i="32"/>
  <c r="D74" i="33"/>
  <c r="H74" i="33"/>
  <c r="L74" i="33"/>
  <c r="E74" i="33"/>
  <c r="I74" i="33"/>
  <c r="M74" i="33"/>
  <c r="F74" i="33"/>
  <c r="J74" i="33"/>
  <c r="N74" i="33"/>
  <c r="G74" i="33"/>
  <c r="K74" i="33"/>
  <c r="C74" i="33"/>
  <c r="E234" i="33"/>
  <c r="I234" i="33"/>
  <c r="M234" i="33"/>
  <c r="F234" i="33"/>
  <c r="J234" i="33"/>
  <c r="N234" i="33"/>
  <c r="C234" i="33"/>
  <c r="G234" i="33"/>
  <c r="K234" i="33"/>
  <c r="D234" i="33"/>
  <c r="H234" i="33"/>
  <c r="L234" i="33"/>
  <c r="O233" i="33"/>
  <c r="L33" i="33"/>
  <c r="G33" i="33"/>
  <c r="F33" i="33"/>
  <c r="AC15" i="25"/>
  <c r="AC15" i="27"/>
  <c r="O113" i="33"/>
  <c r="C154" i="33"/>
  <c r="G154" i="33"/>
  <c r="K154" i="33"/>
  <c r="D154" i="33"/>
  <c r="H154" i="33"/>
  <c r="L154" i="33"/>
  <c r="E154" i="33"/>
  <c r="M154" i="33"/>
  <c r="F154" i="33"/>
  <c r="N154" i="33"/>
  <c r="I154" i="33"/>
  <c r="J154" i="33"/>
  <c r="M33" i="33"/>
  <c r="H33" i="33"/>
  <c r="O73" i="33"/>
  <c r="C33" i="33"/>
  <c r="O153" i="33"/>
  <c r="O193" i="33"/>
  <c r="O32" i="33"/>
  <c r="E114" i="33"/>
  <c r="I114" i="33"/>
  <c r="M114" i="33"/>
  <c r="F114" i="33"/>
  <c r="J114" i="33"/>
  <c r="N114" i="33"/>
  <c r="D114" i="33"/>
  <c r="L114" i="33"/>
  <c r="G114" i="33"/>
  <c r="H114" i="33"/>
  <c r="C114" i="33"/>
  <c r="K114" i="33"/>
  <c r="I33" i="33"/>
  <c r="D33" i="33"/>
  <c r="N33" i="33"/>
  <c r="R235" i="33"/>
  <c r="R195" i="33"/>
  <c r="R155" i="33"/>
  <c r="R75" i="33"/>
  <c r="R115" i="33"/>
  <c r="S69" i="25"/>
  <c r="S15" i="35"/>
  <c r="T12" i="25"/>
  <c r="T35" i="25"/>
  <c r="T12" i="27"/>
  <c r="T37" i="27"/>
  <c r="T15" i="34" s="1"/>
  <c r="U21" i="27"/>
  <c r="U37" i="5"/>
  <c r="U36" i="5" s="1"/>
  <c r="U58" i="5" s="1"/>
  <c r="U62" i="5" s="1"/>
  <c r="U22" i="25"/>
  <c r="X8" i="35"/>
  <c r="V8" i="34"/>
  <c r="U7" i="34"/>
  <c r="W17" i="29"/>
  <c r="V9" i="35"/>
  <c r="V7" i="35" s="1"/>
  <c r="V9" i="34"/>
  <c r="T12" i="35"/>
  <c r="S10" i="35"/>
  <c r="U12" i="34"/>
  <c r="T10" i="34"/>
  <c r="X11" i="35"/>
  <c r="H29" i="32"/>
  <c r="H23" i="27"/>
  <c r="K5" i="24"/>
  <c r="K4" i="24" s="1"/>
  <c r="K12" i="24" s="1"/>
  <c r="K25" i="27" s="1"/>
  <c r="K24" i="23"/>
  <c r="L25" i="23"/>
  <c r="L7" i="23"/>
  <c r="L38" i="23"/>
  <c r="M33" i="23" s="1"/>
  <c r="L46" i="23"/>
  <c r="M41" i="23" s="1"/>
  <c r="AJ19" i="25" l="1"/>
  <c r="AJ19" i="27"/>
  <c r="AN71" i="45"/>
  <c r="AM74" i="45"/>
  <c r="AK43" i="5"/>
  <c r="AI19" i="32"/>
  <c r="AI16" i="31"/>
  <c r="C115" i="33"/>
  <c r="G115" i="33"/>
  <c r="K115" i="33"/>
  <c r="D115" i="33"/>
  <c r="H115" i="33"/>
  <c r="L115" i="33"/>
  <c r="F115" i="33"/>
  <c r="N115" i="33"/>
  <c r="I115" i="33"/>
  <c r="J115" i="33"/>
  <c r="E115" i="33"/>
  <c r="M115" i="33"/>
  <c r="C235" i="33"/>
  <c r="G235" i="33"/>
  <c r="K235" i="33"/>
  <c r="D235" i="33"/>
  <c r="H235" i="33"/>
  <c r="L235" i="33"/>
  <c r="E235" i="33"/>
  <c r="I235" i="33"/>
  <c r="M235" i="33"/>
  <c r="F235" i="33"/>
  <c r="J235" i="33"/>
  <c r="N235" i="33"/>
  <c r="O154" i="33"/>
  <c r="N34" i="33"/>
  <c r="I34" i="33"/>
  <c r="D34" i="33"/>
  <c r="P38" i="40"/>
  <c r="D39" i="40"/>
  <c r="O194" i="33"/>
  <c r="F75" i="33"/>
  <c r="J75" i="33"/>
  <c r="N75" i="33"/>
  <c r="C75" i="33"/>
  <c r="G75" i="33"/>
  <c r="K75" i="33"/>
  <c r="D75" i="33"/>
  <c r="H75" i="33"/>
  <c r="L75" i="33"/>
  <c r="I75" i="33"/>
  <c r="M75" i="33"/>
  <c r="E75" i="33"/>
  <c r="O33" i="33"/>
  <c r="AE23" i="5" s="1"/>
  <c r="AE16" i="5" s="1"/>
  <c r="O74" i="33"/>
  <c r="C34" i="33"/>
  <c r="J34" i="33"/>
  <c r="E34" i="33"/>
  <c r="R236" i="33"/>
  <c r="R196" i="33"/>
  <c r="R156" i="33"/>
  <c r="R116" i="33"/>
  <c r="R76" i="33"/>
  <c r="E155" i="33"/>
  <c r="I155" i="33"/>
  <c r="M155" i="33"/>
  <c r="F155" i="33"/>
  <c r="J155" i="33"/>
  <c r="N155" i="33"/>
  <c r="G155" i="33"/>
  <c r="H155" i="33"/>
  <c r="C155" i="33"/>
  <c r="D155" i="33"/>
  <c r="K155" i="33"/>
  <c r="L155" i="33"/>
  <c r="AC15" i="32"/>
  <c r="AC12" i="31"/>
  <c r="O234" i="33"/>
  <c r="K34" i="33"/>
  <c r="F34" i="33"/>
  <c r="L34" i="33"/>
  <c r="C195" i="33"/>
  <c r="G195" i="33"/>
  <c r="K195" i="33"/>
  <c r="D195" i="33"/>
  <c r="H195" i="33"/>
  <c r="L195" i="33"/>
  <c r="J195" i="33"/>
  <c r="E195" i="33"/>
  <c r="M195" i="33"/>
  <c r="I195" i="33"/>
  <c r="N195" i="33"/>
  <c r="F195" i="33"/>
  <c r="O114" i="33"/>
  <c r="AD23" i="5"/>
  <c r="AD16" i="5" s="1"/>
  <c r="G34" i="33"/>
  <c r="M34" i="33"/>
  <c r="H34" i="33"/>
  <c r="W8" i="34"/>
  <c r="V7" i="34"/>
  <c r="T69" i="25"/>
  <c r="T15" i="35"/>
  <c r="V22" i="25"/>
  <c r="V37" i="5"/>
  <c r="V36" i="5" s="1"/>
  <c r="V58" i="5" s="1"/>
  <c r="V62" i="5" s="1"/>
  <c r="V21" i="27"/>
  <c r="U12" i="27"/>
  <c r="U37" i="27"/>
  <c r="U15" i="34" s="1"/>
  <c r="X17" i="29"/>
  <c r="W9" i="34"/>
  <c r="W9" i="35"/>
  <c r="W7" i="35" s="1"/>
  <c r="Y8" i="35"/>
  <c r="U35" i="25"/>
  <c r="U12" i="25"/>
  <c r="U10" i="34"/>
  <c r="V12" i="34"/>
  <c r="Y11" i="35"/>
  <c r="U12" i="35"/>
  <c r="T10" i="35"/>
  <c r="M43" i="23"/>
  <c r="M44" i="23" s="1"/>
  <c r="M20" i="23" s="1"/>
  <c r="M19" i="23" s="1"/>
  <c r="L5" i="24"/>
  <c r="L4" i="24" s="1"/>
  <c r="L12" i="24" s="1"/>
  <c r="L25" i="27" s="1"/>
  <c r="L24" i="23"/>
  <c r="M35" i="23"/>
  <c r="M36" i="23" s="1"/>
  <c r="M8" i="23" s="1"/>
  <c r="K23" i="27"/>
  <c r="K29" i="32"/>
  <c r="K28" i="32" s="1"/>
  <c r="H28" i="32"/>
  <c r="AN74" i="45" l="1"/>
  <c r="E74" i="45" s="1"/>
  <c r="E71" i="45"/>
  <c r="AJ16" i="31"/>
  <c r="AJ19" i="32"/>
  <c r="AK19" i="25"/>
  <c r="AK19" i="27"/>
  <c r="O155" i="33"/>
  <c r="C156" i="33"/>
  <c r="G156" i="33"/>
  <c r="K156" i="33"/>
  <c r="D156" i="33"/>
  <c r="H156" i="33"/>
  <c r="L156" i="33"/>
  <c r="I156" i="33"/>
  <c r="J156" i="33"/>
  <c r="E156" i="33"/>
  <c r="F156" i="33"/>
  <c r="M156" i="33"/>
  <c r="N156" i="33"/>
  <c r="AE15" i="25"/>
  <c r="AE15" i="27"/>
  <c r="L35" i="33"/>
  <c r="G35" i="33"/>
  <c r="F35" i="33"/>
  <c r="E196" i="33"/>
  <c r="I196" i="33"/>
  <c r="M196" i="33"/>
  <c r="F196" i="33"/>
  <c r="J196" i="33"/>
  <c r="N196" i="33"/>
  <c r="D196" i="33"/>
  <c r="L196" i="33"/>
  <c r="G196" i="33"/>
  <c r="K196" i="33"/>
  <c r="C196" i="33"/>
  <c r="H196" i="33"/>
  <c r="E35" i="33"/>
  <c r="H35" i="33"/>
  <c r="O75" i="33"/>
  <c r="C35" i="33"/>
  <c r="O235" i="33"/>
  <c r="O115" i="33"/>
  <c r="AD15" i="25"/>
  <c r="AD15" i="27"/>
  <c r="D76" i="33"/>
  <c r="H76" i="33"/>
  <c r="L76" i="33"/>
  <c r="E76" i="33"/>
  <c r="I76" i="33"/>
  <c r="M76" i="33"/>
  <c r="F76" i="33"/>
  <c r="J76" i="33"/>
  <c r="N76" i="33"/>
  <c r="K76" i="33"/>
  <c r="C76" i="33"/>
  <c r="G76" i="33"/>
  <c r="E236" i="33"/>
  <c r="F236" i="33"/>
  <c r="C236" i="33"/>
  <c r="D236" i="33"/>
  <c r="G236" i="33"/>
  <c r="K236" i="33"/>
  <c r="H236" i="33"/>
  <c r="L236" i="33"/>
  <c r="I236" i="33"/>
  <c r="J236" i="33"/>
  <c r="M236" i="33"/>
  <c r="N236" i="33"/>
  <c r="M35" i="33"/>
  <c r="D35" i="33"/>
  <c r="N35" i="33"/>
  <c r="D40" i="40"/>
  <c r="P39" i="40"/>
  <c r="O195" i="33"/>
  <c r="E116" i="33"/>
  <c r="I116" i="33"/>
  <c r="M116" i="33"/>
  <c r="F116" i="33"/>
  <c r="J116" i="33"/>
  <c r="N116" i="33"/>
  <c r="H116" i="33"/>
  <c r="C116" i="33"/>
  <c r="K116" i="33"/>
  <c r="D116" i="33"/>
  <c r="L116" i="33"/>
  <c r="G116" i="33"/>
  <c r="O34" i="33"/>
  <c r="I35" i="33"/>
  <c r="K35" i="33"/>
  <c r="J35" i="33"/>
  <c r="R237" i="33"/>
  <c r="R157" i="33"/>
  <c r="R197" i="33"/>
  <c r="R117" i="33"/>
  <c r="R77" i="33"/>
  <c r="U69" i="25"/>
  <c r="U15" i="35"/>
  <c r="W21" i="27"/>
  <c r="W37" i="5"/>
  <c r="W36" i="5" s="1"/>
  <c r="W58" i="5" s="1"/>
  <c r="W62" i="5" s="1"/>
  <c r="W22" i="25"/>
  <c r="V12" i="27"/>
  <c r="V37" i="27"/>
  <c r="V15" i="34" s="1"/>
  <c r="Z8" i="35"/>
  <c r="Y17" i="29"/>
  <c r="X9" i="34"/>
  <c r="X9" i="35"/>
  <c r="X7" i="35" s="1"/>
  <c r="V35" i="25"/>
  <c r="V12" i="25"/>
  <c r="X8" i="34"/>
  <c r="W7" i="34"/>
  <c r="Z11" i="35"/>
  <c r="W12" i="34"/>
  <c r="V10" i="34"/>
  <c r="V12" i="35"/>
  <c r="U10" i="35"/>
  <c r="M46" i="23"/>
  <c r="N41" i="23" s="1"/>
  <c r="N43" i="23" s="1"/>
  <c r="N44" i="23" s="1"/>
  <c r="N20" i="23" s="1"/>
  <c r="N19" i="23" s="1"/>
  <c r="M38" i="23"/>
  <c r="N33" i="23" s="1"/>
  <c r="M7" i="23"/>
  <c r="M25" i="23"/>
  <c r="L29" i="32"/>
  <c r="L28" i="32" s="1"/>
  <c r="L23" i="27"/>
  <c r="AK16" i="31" l="1"/>
  <c r="AK19" i="32"/>
  <c r="AL43" i="5"/>
  <c r="C45" i="5"/>
  <c r="O196" i="33"/>
  <c r="E157" i="33"/>
  <c r="I157" i="33"/>
  <c r="M157" i="33"/>
  <c r="F157" i="33"/>
  <c r="J157" i="33"/>
  <c r="N157" i="33"/>
  <c r="C157" i="33"/>
  <c r="K157" i="33"/>
  <c r="D157" i="33"/>
  <c r="L157" i="33"/>
  <c r="G157" i="33"/>
  <c r="H157" i="33"/>
  <c r="G36" i="33"/>
  <c r="J36" i="33"/>
  <c r="E36" i="33"/>
  <c r="AD15" i="32"/>
  <c r="AD12" i="31"/>
  <c r="C77" i="33"/>
  <c r="G77" i="33"/>
  <c r="K77" i="33"/>
  <c r="D77" i="33"/>
  <c r="H77" i="33"/>
  <c r="L77" i="33"/>
  <c r="F77" i="33"/>
  <c r="N77" i="33"/>
  <c r="I77" i="33"/>
  <c r="J77" i="33"/>
  <c r="E77" i="33"/>
  <c r="M77" i="33"/>
  <c r="E237" i="33"/>
  <c r="I237" i="33"/>
  <c r="M237" i="33"/>
  <c r="F237" i="33"/>
  <c r="J237" i="33"/>
  <c r="N237" i="33"/>
  <c r="G237" i="33"/>
  <c r="H237" i="33"/>
  <c r="K237" i="33"/>
  <c r="L237" i="33"/>
  <c r="C237" i="33"/>
  <c r="D237" i="33"/>
  <c r="O116" i="33"/>
  <c r="O236" i="33"/>
  <c r="O76" i="33"/>
  <c r="C36" i="33"/>
  <c r="F36" i="33"/>
  <c r="L36" i="33"/>
  <c r="AE15" i="32"/>
  <c r="AE12" i="31"/>
  <c r="C117" i="33"/>
  <c r="G117" i="33"/>
  <c r="K117" i="33"/>
  <c r="D117" i="33"/>
  <c r="H117" i="33"/>
  <c r="L117" i="33"/>
  <c r="J117" i="33"/>
  <c r="E117" i="33"/>
  <c r="M117" i="33"/>
  <c r="F117" i="33"/>
  <c r="N117" i="33"/>
  <c r="I117" i="33"/>
  <c r="R238" i="33"/>
  <c r="R198" i="33"/>
  <c r="R118" i="33"/>
  <c r="R158" i="33"/>
  <c r="R78" i="33"/>
  <c r="K36" i="33"/>
  <c r="M36" i="33"/>
  <c r="H36" i="33"/>
  <c r="O35" i="33"/>
  <c r="AG23" i="5" s="1"/>
  <c r="AG16" i="5" s="1"/>
  <c r="C197" i="33"/>
  <c r="G197" i="33"/>
  <c r="K197" i="33"/>
  <c r="D197" i="33"/>
  <c r="H197" i="33"/>
  <c r="L197" i="33"/>
  <c r="F197" i="33"/>
  <c r="N197" i="33"/>
  <c r="I197" i="33"/>
  <c r="M197" i="33"/>
  <c r="J197" i="33"/>
  <c r="E197" i="33"/>
  <c r="AF23" i="5"/>
  <c r="AF16" i="5" s="1"/>
  <c r="P40" i="40"/>
  <c r="D41" i="40"/>
  <c r="P41" i="40" s="1"/>
  <c r="N36" i="33"/>
  <c r="I36" i="33"/>
  <c r="D36" i="33"/>
  <c r="O156" i="33"/>
  <c r="Y8" i="34"/>
  <c r="X7" i="34"/>
  <c r="AA8" i="35"/>
  <c r="X37" i="5"/>
  <c r="X36" i="5" s="1"/>
  <c r="X58" i="5" s="1"/>
  <c r="X62" i="5" s="1"/>
  <c r="X22" i="25"/>
  <c r="X21" i="27"/>
  <c r="W37" i="27"/>
  <c r="W15" i="34" s="1"/>
  <c r="W12" i="27"/>
  <c r="V15" i="35"/>
  <c r="V69" i="25"/>
  <c r="Z17" i="29"/>
  <c r="Y9" i="35"/>
  <c r="Y7" i="35" s="1"/>
  <c r="Y9" i="34"/>
  <c r="W35" i="25"/>
  <c r="W12" i="25"/>
  <c r="X12" i="34"/>
  <c r="W10" i="34"/>
  <c r="W12" i="35"/>
  <c r="V10" i="35"/>
  <c r="AA11" i="35"/>
  <c r="N46" i="23"/>
  <c r="O41" i="23" s="1"/>
  <c r="M5" i="24"/>
  <c r="M4" i="24" s="1"/>
  <c r="M12" i="24" s="1"/>
  <c r="M25" i="27" s="1"/>
  <c r="M24" i="23"/>
  <c r="N35" i="23"/>
  <c r="N36" i="23" s="1"/>
  <c r="N8" i="23" s="1"/>
  <c r="AL19" i="27" l="1"/>
  <c r="AL19" i="25"/>
  <c r="C19" i="25" s="1"/>
  <c r="C43" i="5"/>
  <c r="R239" i="33"/>
  <c r="R199" i="33"/>
  <c r="R159" i="33"/>
  <c r="R119" i="33"/>
  <c r="R79" i="33"/>
  <c r="E198" i="33"/>
  <c r="I198" i="33"/>
  <c r="M198" i="33"/>
  <c r="F198" i="33"/>
  <c r="J198" i="33"/>
  <c r="N198" i="33"/>
  <c r="H198" i="33"/>
  <c r="C198" i="33"/>
  <c r="K198" i="33"/>
  <c r="D198" i="33"/>
  <c r="G198" i="33"/>
  <c r="L198" i="33"/>
  <c r="I37" i="33"/>
  <c r="H37" i="33"/>
  <c r="O77" i="33"/>
  <c r="C37" i="33"/>
  <c r="AG15" i="27"/>
  <c r="AG15" i="25"/>
  <c r="E78" i="33"/>
  <c r="I78" i="33"/>
  <c r="M78" i="33"/>
  <c r="F78" i="33"/>
  <c r="J78" i="33"/>
  <c r="N78" i="33"/>
  <c r="H78" i="33"/>
  <c r="C78" i="33"/>
  <c r="K78" i="33"/>
  <c r="D78" i="33"/>
  <c r="L78" i="33"/>
  <c r="G78" i="33"/>
  <c r="C238" i="33"/>
  <c r="G238" i="33"/>
  <c r="K238" i="33"/>
  <c r="D238" i="33"/>
  <c r="H238" i="33"/>
  <c r="L238" i="33"/>
  <c r="I238" i="33"/>
  <c r="J238" i="33"/>
  <c r="E238" i="33"/>
  <c r="F238" i="33"/>
  <c r="M238" i="33"/>
  <c r="N238" i="33"/>
  <c r="O117" i="33"/>
  <c r="O36" i="33"/>
  <c r="M37" i="33"/>
  <c r="N37" i="33"/>
  <c r="D37" i="33"/>
  <c r="O157" i="33"/>
  <c r="AF15" i="27"/>
  <c r="AF15" i="25"/>
  <c r="O197" i="33"/>
  <c r="C158" i="33"/>
  <c r="G158" i="33"/>
  <c r="K158" i="33"/>
  <c r="D158" i="33"/>
  <c r="H158" i="33"/>
  <c r="L158" i="33"/>
  <c r="E158" i="33"/>
  <c r="M158" i="33"/>
  <c r="F158" i="33"/>
  <c r="N158" i="33"/>
  <c r="I158" i="33"/>
  <c r="J158" i="33"/>
  <c r="O237" i="33"/>
  <c r="E37" i="33"/>
  <c r="F37" i="33"/>
  <c r="K37" i="33"/>
  <c r="R240" i="33"/>
  <c r="R200" i="33"/>
  <c r="R160" i="33"/>
  <c r="R120" i="33"/>
  <c r="R80" i="33"/>
  <c r="E118" i="33"/>
  <c r="I118" i="33"/>
  <c r="M118" i="33"/>
  <c r="F118" i="33"/>
  <c r="J118" i="33"/>
  <c r="N118" i="33"/>
  <c r="D118" i="33"/>
  <c r="L118" i="33"/>
  <c r="G118" i="33"/>
  <c r="H118" i="33"/>
  <c r="C118" i="33"/>
  <c r="K118" i="33"/>
  <c r="J37" i="33"/>
  <c r="L37" i="33"/>
  <c r="G37" i="33"/>
  <c r="X35" i="25"/>
  <c r="X12" i="25"/>
  <c r="W15" i="35"/>
  <c r="W69" i="25"/>
  <c r="AA17" i="29"/>
  <c r="Z9" i="35"/>
  <c r="Z7" i="35" s="1"/>
  <c r="Z9" i="34"/>
  <c r="Y22" i="25"/>
  <c r="Y37" i="5"/>
  <c r="Y36" i="5" s="1"/>
  <c r="Y58" i="5" s="1"/>
  <c r="Y62" i="5" s="1"/>
  <c r="Y21" i="27"/>
  <c r="Z8" i="34"/>
  <c r="Y7" i="34"/>
  <c r="X37" i="27"/>
  <c r="X15" i="34" s="1"/>
  <c r="X12" i="27"/>
  <c r="AB8" i="35"/>
  <c r="N38" i="23"/>
  <c r="O33" i="23" s="1"/>
  <c r="O35" i="23" s="1"/>
  <c r="O36" i="23" s="1"/>
  <c r="O8" i="23" s="1"/>
  <c r="X12" i="35"/>
  <c r="W10" i="35"/>
  <c r="AB11" i="35"/>
  <c r="Y12" i="34"/>
  <c r="X10" i="34"/>
  <c r="M23" i="27"/>
  <c r="M29" i="32"/>
  <c r="M28" i="32" s="1"/>
  <c r="N25" i="23"/>
  <c r="N7" i="23"/>
  <c r="O43" i="23"/>
  <c r="O44" i="23" s="1"/>
  <c r="O20" i="23" s="1"/>
  <c r="O19" i="23" s="1"/>
  <c r="AL16" i="31" l="1"/>
  <c r="C16" i="31" s="1"/>
  <c r="AL19" i="32"/>
  <c r="C19" i="32" s="1"/>
  <c r="C19" i="27"/>
  <c r="O118" i="33"/>
  <c r="E120" i="33"/>
  <c r="I120" i="33"/>
  <c r="M120" i="33"/>
  <c r="F120" i="33"/>
  <c r="J120" i="33"/>
  <c r="N120" i="33"/>
  <c r="H120" i="33"/>
  <c r="C120" i="33"/>
  <c r="K120" i="33"/>
  <c r="D120" i="33"/>
  <c r="L120" i="33"/>
  <c r="G120" i="33"/>
  <c r="L38" i="33"/>
  <c r="H38" i="33"/>
  <c r="M38" i="33"/>
  <c r="AG15" i="32"/>
  <c r="AG12" i="31"/>
  <c r="C199" i="33"/>
  <c r="G199" i="33"/>
  <c r="K199" i="33"/>
  <c r="D199" i="33"/>
  <c r="H199" i="33"/>
  <c r="L199" i="33"/>
  <c r="J199" i="33"/>
  <c r="E199" i="33"/>
  <c r="M199" i="33"/>
  <c r="F199" i="33"/>
  <c r="N199" i="33"/>
  <c r="I199" i="33"/>
  <c r="C160" i="33"/>
  <c r="G160" i="33"/>
  <c r="K160" i="33"/>
  <c r="D160" i="33"/>
  <c r="H160" i="33"/>
  <c r="L160" i="33"/>
  <c r="I160" i="33"/>
  <c r="J160" i="33"/>
  <c r="M160" i="33"/>
  <c r="N160" i="33"/>
  <c r="E160" i="33"/>
  <c r="F160" i="33"/>
  <c r="AH23" i="5"/>
  <c r="AH16" i="5" s="1"/>
  <c r="D38" i="33"/>
  <c r="N38" i="33"/>
  <c r="I38" i="33"/>
  <c r="O198" i="33"/>
  <c r="C79" i="33"/>
  <c r="G79" i="33"/>
  <c r="K79" i="33"/>
  <c r="D79" i="33"/>
  <c r="H79" i="33"/>
  <c r="L79" i="33"/>
  <c r="J79" i="33"/>
  <c r="E79" i="33"/>
  <c r="M79" i="33"/>
  <c r="F79" i="33"/>
  <c r="N79" i="33"/>
  <c r="I79" i="33"/>
  <c r="E239" i="33"/>
  <c r="I239" i="33"/>
  <c r="M239" i="33"/>
  <c r="F239" i="33"/>
  <c r="J239" i="33"/>
  <c r="N239" i="33"/>
  <c r="G239" i="33"/>
  <c r="H239" i="33"/>
  <c r="K239" i="33"/>
  <c r="L239" i="33"/>
  <c r="C239" i="33"/>
  <c r="D239" i="33"/>
  <c r="E200" i="33"/>
  <c r="I200" i="33"/>
  <c r="M200" i="33"/>
  <c r="F200" i="33"/>
  <c r="J200" i="33"/>
  <c r="N200" i="33"/>
  <c r="D200" i="33"/>
  <c r="L200" i="33"/>
  <c r="G200" i="33"/>
  <c r="C200" i="33"/>
  <c r="H200" i="33"/>
  <c r="K200" i="33"/>
  <c r="AF15" i="32"/>
  <c r="AF12" i="31"/>
  <c r="O238" i="33"/>
  <c r="K38" i="33"/>
  <c r="J38" i="33"/>
  <c r="E38" i="33"/>
  <c r="O37" i="33"/>
  <c r="AI23" i="5" s="1"/>
  <c r="AI16" i="5" s="1"/>
  <c r="C119" i="33"/>
  <c r="G119" i="33"/>
  <c r="K119" i="33"/>
  <c r="D119" i="33"/>
  <c r="H119" i="33"/>
  <c r="L119" i="33"/>
  <c r="F119" i="33"/>
  <c r="N119" i="33"/>
  <c r="I119" i="33"/>
  <c r="J119" i="33"/>
  <c r="E119" i="33"/>
  <c r="M119" i="33"/>
  <c r="C80" i="33"/>
  <c r="G80" i="33"/>
  <c r="K80" i="33"/>
  <c r="D80" i="33"/>
  <c r="H80" i="33"/>
  <c r="L80" i="33"/>
  <c r="I80" i="33"/>
  <c r="J80" i="33"/>
  <c r="E80" i="33"/>
  <c r="M80" i="33"/>
  <c r="F80" i="33"/>
  <c r="N80" i="33"/>
  <c r="C240" i="33"/>
  <c r="G240" i="33"/>
  <c r="K240" i="33"/>
  <c r="D240" i="33"/>
  <c r="H240" i="33"/>
  <c r="L240" i="33"/>
  <c r="I240" i="33"/>
  <c r="J240" i="33"/>
  <c r="E240" i="33"/>
  <c r="F240" i="33"/>
  <c r="M240" i="33"/>
  <c r="N240" i="33"/>
  <c r="O158" i="33"/>
  <c r="G38" i="33"/>
  <c r="C38" i="33"/>
  <c r="O78" i="33"/>
  <c r="F38" i="33"/>
  <c r="E159" i="33"/>
  <c r="I159" i="33"/>
  <c r="M159" i="33"/>
  <c r="F159" i="33"/>
  <c r="J159" i="33"/>
  <c r="N159" i="33"/>
  <c r="G159" i="33"/>
  <c r="H159" i="33"/>
  <c r="K159" i="33"/>
  <c r="L159" i="33"/>
  <c r="C159" i="33"/>
  <c r="D159" i="33"/>
  <c r="AC8" i="35"/>
  <c r="AA8" i="34"/>
  <c r="Z7" i="34"/>
  <c r="Y37" i="27"/>
  <c r="Y15" i="34" s="1"/>
  <c r="Y12" i="27"/>
  <c r="Z37" i="5"/>
  <c r="Z36" i="5" s="1"/>
  <c r="Z58" i="5" s="1"/>
  <c r="Z62" i="5" s="1"/>
  <c r="Z22" i="25"/>
  <c r="Z21" i="27"/>
  <c r="Y12" i="25"/>
  <c r="Y35" i="25"/>
  <c r="AB17" i="29"/>
  <c r="AA9" i="35"/>
  <c r="AA7" i="35" s="1"/>
  <c r="AA9" i="34"/>
  <c r="X15" i="35"/>
  <c r="X69" i="25"/>
  <c r="AC11" i="35"/>
  <c r="Z12" i="34"/>
  <c r="Y10" i="34"/>
  <c r="Y12" i="35"/>
  <c r="X10" i="35"/>
  <c r="O46" i="23"/>
  <c r="P41" i="23" s="1"/>
  <c r="P43" i="23" s="1"/>
  <c r="P44" i="23" s="1"/>
  <c r="P20" i="23" s="1"/>
  <c r="P19" i="23" s="1"/>
  <c r="O7" i="23"/>
  <c r="O25" i="23"/>
  <c r="N5" i="24"/>
  <c r="N4" i="24" s="1"/>
  <c r="N12" i="24" s="1"/>
  <c r="N25" i="27" s="1"/>
  <c r="N24" i="23"/>
  <c r="O38" i="23"/>
  <c r="P33" i="23" s="1"/>
  <c r="N201" i="33" l="1"/>
  <c r="D201" i="33"/>
  <c r="I241" i="33"/>
  <c r="G201" i="33"/>
  <c r="H241" i="33"/>
  <c r="N241" i="33"/>
  <c r="C81" i="33"/>
  <c r="E241" i="33"/>
  <c r="L201" i="33"/>
  <c r="F201" i="33"/>
  <c r="J241" i="33"/>
  <c r="D241" i="33"/>
  <c r="H201" i="33"/>
  <c r="M201" i="33"/>
  <c r="K241" i="33"/>
  <c r="F241" i="33"/>
  <c r="L241" i="33"/>
  <c r="G241" i="33"/>
  <c r="J201" i="33"/>
  <c r="E201" i="33"/>
  <c r="I201" i="33"/>
  <c r="K201" i="33"/>
  <c r="M241" i="33"/>
  <c r="O159" i="33"/>
  <c r="O239" i="33"/>
  <c r="M40" i="33"/>
  <c r="M81" i="33"/>
  <c r="L40" i="33"/>
  <c r="L81" i="33"/>
  <c r="G40" i="33"/>
  <c r="G81" i="33"/>
  <c r="I39" i="33"/>
  <c r="E39" i="33"/>
  <c r="D39" i="33"/>
  <c r="N161" i="33"/>
  <c r="L161" i="33"/>
  <c r="G161" i="33"/>
  <c r="G121" i="33"/>
  <c r="O120" i="33"/>
  <c r="C121" i="33"/>
  <c r="F121" i="33"/>
  <c r="O240" i="33"/>
  <c r="E40" i="33"/>
  <c r="E81" i="33"/>
  <c r="H40" i="33"/>
  <c r="H81" i="33"/>
  <c r="O80" i="33"/>
  <c r="C40" i="33"/>
  <c r="O200" i="33"/>
  <c r="C201" i="33"/>
  <c r="N39" i="33"/>
  <c r="J39" i="33"/>
  <c r="K39" i="33"/>
  <c r="AH15" i="27"/>
  <c r="AH15" i="25"/>
  <c r="M161" i="33"/>
  <c r="H161" i="33"/>
  <c r="O160" i="33"/>
  <c r="C161" i="33"/>
  <c r="L121" i="33"/>
  <c r="H121" i="33"/>
  <c r="M121" i="33"/>
  <c r="O38" i="33"/>
  <c r="AJ23" i="5" s="1"/>
  <c r="AJ16" i="5" s="1"/>
  <c r="N40" i="33"/>
  <c r="N81" i="33"/>
  <c r="J40" i="33"/>
  <c r="J81" i="33"/>
  <c r="D40" i="33"/>
  <c r="D81" i="33"/>
  <c r="O119" i="33"/>
  <c r="F39" i="33"/>
  <c r="L39" i="33"/>
  <c r="G39" i="33"/>
  <c r="F161" i="33"/>
  <c r="J161" i="33"/>
  <c r="D161" i="33"/>
  <c r="O199" i="33"/>
  <c r="D121" i="33"/>
  <c r="N121" i="33"/>
  <c r="I121" i="33"/>
  <c r="F40" i="33"/>
  <c r="F81" i="33"/>
  <c r="I40" i="33"/>
  <c r="I81" i="33"/>
  <c r="K40" i="33"/>
  <c r="K81" i="33"/>
  <c r="AI15" i="25"/>
  <c r="AI15" i="27"/>
  <c r="C241" i="33"/>
  <c r="M39" i="33"/>
  <c r="H39" i="33"/>
  <c r="O79" i="33"/>
  <c r="C39" i="33"/>
  <c r="E161" i="33"/>
  <c r="I161" i="33"/>
  <c r="K161" i="33"/>
  <c r="K121" i="33"/>
  <c r="J121" i="33"/>
  <c r="E121" i="33"/>
  <c r="AC17" i="29"/>
  <c r="AB9" i="35"/>
  <c r="AB7" i="35" s="1"/>
  <c r="AB9" i="34"/>
  <c r="Z35" i="25"/>
  <c r="Z12" i="25"/>
  <c r="Y69" i="25"/>
  <c r="Y15" i="35"/>
  <c r="AB8" i="34"/>
  <c r="AA7" i="34"/>
  <c r="AA22" i="25"/>
  <c r="AA21" i="27"/>
  <c r="AA37" i="5"/>
  <c r="AA36" i="5" s="1"/>
  <c r="AA58" i="5" s="1"/>
  <c r="AA62" i="5" s="1"/>
  <c r="Z37" i="27"/>
  <c r="Z15" i="34" s="1"/>
  <c r="Z12" i="27"/>
  <c r="AD8" i="35"/>
  <c r="AA12" i="34"/>
  <c r="Z10" i="34"/>
  <c r="Z12" i="35"/>
  <c r="Y10" i="35"/>
  <c r="AD11" i="35"/>
  <c r="P35" i="23"/>
  <c r="P36" i="23" s="1"/>
  <c r="P8" i="23" s="1"/>
  <c r="N29" i="32"/>
  <c r="N28" i="32" s="1"/>
  <c r="N23" i="27"/>
  <c r="O5" i="24"/>
  <c r="O4" i="24" s="1"/>
  <c r="O12" i="24" s="1"/>
  <c r="O25" i="27" s="1"/>
  <c r="O24" i="23"/>
  <c r="P46" i="23"/>
  <c r="Q41" i="23" s="1"/>
  <c r="D41" i="33" l="1"/>
  <c r="I41" i="33"/>
  <c r="E41" i="33"/>
  <c r="O39" i="33"/>
  <c r="AK23" i="5" s="1"/>
  <c r="AK16" i="5" s="1"/>
  <c r="AK15" i="25" s="1"/>
  <c r="J41" i="33"/>
  <c r="O161" i="33"/>
  <c r="O241" i="33"/>
  <c r="N41" i="33"/>
  <c r="F41" i="33"/>
  <c r="L41" i="33"/>
  <c r="O201" i="33"/>
  <c r="H41" i="33"/>
  <c r="AI15" i="32"/>
  <c r="AI12" i="31"/>
  <c r="P40" i="33"/>
  <c r="K41" i="33"/>
  <c r="AJ15" i="25"/>
  <c r="AJ15" i="27"/>
  <c r="C41" i="33"/>
  <c r="G41" i="33"/>
  <c r="M41" i="33"/>
  <c r="AH12" i="31"/>
  <c r="AH15" i="32"/>
  <c r="O40" i="33"/>
  <c r="O81" i="33"/>
  <c r="O121" i="33"/>
  <c r="AE8" i="35"/>
  <c r="AA12" i="27"/>
  <c r="AA37" i="27"/>
  <c r="AA15" i="34" s="1"/>
  <c r="AA12" i="25"/>
  <c r="AA35" i="25"/>
  <c r="AB21" i="27"/>
  <c r="AB37" i="5"/>
  <c r="AB36" i="5" s="1"/>
  <c r="AB58" i="5" s="1"/>
  <c r="AB62" i="5" s="1"/>
  <c r="AB22" i="25"/>
  <c r="AC8" i="34"/>
  <c r="AB7" i="34"/>
  <c r="Z69" i="25"/>
  <c r="Z15" i="35"/>
  <c r="AD17" i="29"/>
  <c r="AC9" i="35"/>
  <c r="AC7" i="35" s="1"/>
  <c r="AC9" i="34"/>
  <c r="AA12" i="35"/>
  <c r="Z10" i="35"/>
  <c r="AE11" i="35"/>
  <c r="AB12" i="34"/>
  <c r="AA10" i="34"/>
  <c r="O29" i="32"/>
  <c r="O28" i="32" s="1"/>
  <c r="O23" i="27"/>
  <c r="P38" i="23"/>
  <c r="Q33" i="23" s="1"/>
  <c r="Q43" i="23"/>
  <c r="Q44" i="23" s="1"/>
  <c r="Q20" i="23" s="1"/>
  <c r="Q19" i="23" s="1"/>
  <c r="P7" i="23"/>
  <c r="P25" i="23"/>
  <c r="AK15" i="27" l="1"/>
  <c r="AK12" i="31" s="1"/>
  <c r="AL23" i="5"/>
  <c r="P41" i="33"/>
  <c r="D5" i="25" a="1"/>
  <c r="O41" i="33"/>
  <c r="P42" i="33" s="1"/>
  <c r="D5" i="27" a="1"/>
  <c r="D6" i="31" a="1"/>
  <c r="D6" i="32" a="1"/>
  <c r="AJ12" i="31"/>
  <c r="AJ15" i="32"/>
  <c r="AC21" i="27"/>
  <c r="AC37" i="5"/>
  <c r="AC36" i="5" s="1"/>
  <c r="AC58" i="5" s="1"/>
  <c r="AC62" i="5" s="1"/>
  <c r="AC22" i="25"/>
  <c r="AB12" i="27"/>
  <c r="AB37" i="27"/>
  <c r="AB15" i="34" s="1"/>
  <c r="AE17" i="29"/>
  <c r="AD9" i="34"/>
  <c r="AD9" i="35"/>
  <c r="AD7" i="35" s="1"/>
  <c r="AD8" i="34"/>
  <c r="AC7" i="34"/>
  <c r="AA15" i="35"/>
  <c r="AA69" i="25"/>
  <c r="AB12" i="25"/>
  <c r="AB35" i="25"/>
  <c r="AF8" i="35"/>
  <c r="AF11" i="35"/>
  <c r="AB10" i="34"/>
  <c r="AC12" i="34"/>
  <c r="AB12" i="35"/>
  <c r="AA10" i="35"/>
  <c r="Q46" i="23"/>
  <c r="R41" i="23" s="1"/>
  <c r="P24" i="23"/>
  <c r="P5" i="24"/>
  <c r="P4" i="24" s="1"/>
  <c r="P12" i="24" s="1"/>
  <c r="P25" i="27" s="1"/>
  <c r="Q35" i="23"/>
  <c r="Q36" i="23" s="1"/>
  <c r="Q8" i="23" s="1"/>
  <c r="AK15" i="32" l="1"/>
  <c r="AG6" i="32"/>
  <c r="AG5" i="32" s="1"/>
  <c r="AK6" i="32"/>
  <c r="AK5" i="32" s="1"/>
  <c r="I6" i="32"/>
  <c r="I5" i="32" s="1"/>
  <c r="W6" i="32"/>
  <c r="W5" i="32" s="1"/>
  <c r="P6" i="32"/>
  <c r="P5" i="32" s="1"/>
  <c r="U6" i="32"/>
  <c r="U5" i="32" s="1"/>
  <c r="S6" i="32"/>
  <c r="S5" i="32" s="1"/>
  <c r="AJ6" i="32"/>
  <c r="AJ5" i="32" s="1"/>
  <c r="AI6" i="32"/>
  <c r="AI5" i="32" s="1"/>
  <c r="AF6" i="32"/>
  <c r="AF5" i="32" s="1"/>
  <c r="AB6" i="32"/>
  <c r="AB5" i="32" s="1"/>
  <c r="G6" i="32"/>
  <c r="G5" i="32" s="1"/>
  <c r="AD6" i="32"/>
  <c r="AD5" i="32" s="1"/>
  <c r="F6" i="32"/>
  <c r="F5" i="32" s="1"/>
  <c r="Y6" i="32"/>
  <c r="Y5" i="32" s="1"/>
  <c r="Q6" i="32"/>
  <c r="Q5" i="32" s="1"/>
  <c r="J6" i="32"/>
  <c r="J5" i="32" s="1"/>
  <c r="AL6" i="32"/>
  <c r="AL5" i="32" s="1"/>
  <c r="AH6" i="32"/>
  <c r="AH5" i="32" s="1"/>
  <c r="K6" i="32"/>
  <c r="K5" i="32" s="1"/>
  <c r="L6" i="32"/>
  <c r="L5" i="32" s="1"/>
  <c r="R6" i="32"/>
  <c r="R5" i="32" s="1"/>
  <c r="AA6" i="32"/>
  <c r="AA5" i="32" s="1"/>
  <c r="X6" i="32"/>
  <c r="X5" i="32" s="1"/>
  <c r="E6" i="32"/>
  <c r="E5" i="32" s="1"/>
  <c r="T6" i="32"/>
  <c r="T5" i="32" s="1"/>
  <c r="D6" i="32"/>
  <c r="V6" i="32"/>
  <c r="V5" i="32" s="1"/>
  <c r="H6" i="32"/>
  <c r="H5" i="32" s="1"/>
  <c r="AE6" i="32"/>
  <c r="AE5" i="32" s="1"/>
  <c r="N6" i="32"/>
  <c r="N5" i="32" s="1"/>
  <c r="Z6" i="32"/>
  <c r="Z5" i="32" s="1"/>
  <c r="M6" i="32"/>
  <c r="M5" i="32" s="1"/>
  <c r="O6" i="32"/>
  <c r="O5" i="32" s="1"/>
  <c r="AC6" i="32"/>
  <c r="AC5" i="32" s="1"/>
  <c r="Q5" i="25"/>
  <c r="AG5" i="25"/>
  <c r="AA5" i="25"/>
  <c r="G5" i="25"/>
  <c r="L5" i="25"/>
  <c r="E5" i="25"/>
  <c r="AL5" i="25"/>
  <c r="AE5" i="25"/>
  <c r="AJ5" i="25"/>
  <c r="J5" i="25"/>
  <c r="X5" i="25"/>
  <c r="AB5" i="25"/>
  <c r="P5" i="25"/>
  <c r="AK5" i="25"/>
  <c r="AI5" i="25"/>
  <c r="Z5" i="25"/>
  <c r="K5" i="25"/>
  <c r="V5" i="25"/>
  <c r="O5" i="25"/>
  <c r="I5" i="25"/>
  <c r="AC5" i="25"/>
  <c r="W5" i="25"/>
  <c r="R5" i="25"/>
  <c r="F5" i="25"/>
  <c r="T5" i="25"/>
  <c r="Y5" i="25"/>
  <c r="AF5" i="25"/>
  <c r="AH5" i="25"/>
  <c r="AD5" i="25"/>
  <c r="M5" i="25"/>
  <c r="D5" i="25"/>
  <c r="U5" i="25"/>
  <c r="N5" i="25"/>
  <c r="S5" i="25"/>
  <c r="H5" i="25"/>
  <c r="S6" i="31"/>
  <c r="S5" i="31" s="1"/>
  <c r="S4" i="31" s="1"/>
  <c r="AL6" i="31"/>
  <c r="AL5" i="31" s="1"/>
  <c r="AL4" i="31" s="1"/>
  <c r="AK6" i="31"/>
  <c r="AK5" i="31" s="1"/>
  <c r="AK4" i="31" s="1"/>
  <c r="G6" i="31"/>
  <c r="G5" i="31" s="1"/>
  <c r="G4" i="31" s="1"/>
  <c r="U6" i="31"/>
  <c r="U5" i="31" s="1"/>
  <c r="U4" i="31" s="1"/>
  <c r="AJ6" i="31"/>
  <c r="AJ5" i="31" s="1"/>
  <c r="AJ4" i="31" s="1"/>
  <c r="J6" i="31"/>
  <c r="J5" i="31" s="1"/>
  <c r="J4" i="31" s="1"/>
  <c r="AI6" i="31"/>
  <c r="AI5" i="31" s="1"/>
  <c r="AI4" i="31" s="1"/>
  <c r="AH6" i="31"/>
  <c r="AH5" i="31" s="1"/>
  <c r="AH4" i="31" s="1"/>
  <c r="T6" i="31"/>
  <c r="T5" i="31" s="1"/>
  <c r="T4" i="31" s="1"/>
  <c r="AD6" i="31"/>
  <c r="AD5" i="31" s="1"/>
  <c r="AD4" i="31" s="1"/>
  <c r="AA6" i="31"/>
  <c r="AA5" i="31" s="1"/>
  <c r="AA4" i="31" s="1"/>
  <c r="W6" i="31"/>
  <c r="W5" i="31" s="1"/>
  <c r="W4" i="31" s="1"/>
  <c r="R6" i="31"/>
  <c r="R5" i="31" s="1"/>
  <c r="R4" i="31" s="1"/>
  <c r="I6" i="31"/>
  <c r="I5" i="31" s="1"/>
  <c r="I4" i="31" s="1"/>
  <c r="Z6" i="31"/>
  <c r="Z5" i="31" s="1"/>
  <c r="Z4" i="31" s="1"/>
  <c r="X6" i="31"/>
  <c r="X5" i="31" s="1"/>
  <c r="X4" i="31" s="1"/>
  <c r="P6" i="31"/>
  <c r="P5" i="31" s="1"/>
  <c r="P4" i="31" s="1"/>
  <c r="AC6" i="31"/>
  <c r="AC5" i="31" s="1"/>
  <c r="AC4" i="31" s="1"/>
  <c r="M6" i="31"/>
  <c r="M5" i="31" s="1"/>
  <c r="M4" i="31" s="1"/>
  <c r="AE6" i="31"/>
  <c r="AE5" i="31" s="1"/>
  <c r="AE4" i="31" s="1"/>
  <c r="V6" i="31"/>
  <c r="V5" i="31" s="1"/>
  <c r="V4" i="31" s="1"/>
  <c r="AB6" i="31"/>
  <c r="AB5" i="31" s="1"/>
  <c r="AB4" i="31" s="1"/>
  <c r="N6" i="31"/>
  <c r="N5" i="31" s="1"/>
  <c r="N4" i="31" s="1"/>
  <c r="Y6" i="31"/>
  <c r="Y5" i="31" s="1"/>
  <c r="Y4" i="31" s="1"/>
  <c r="Q6" i="31"/>
  <c r="Q5" i="31" s="1"/>
  <c r="Q4" i="31" s="1"/>
  <c r="F6" i="31"/>
  <c r="F5" i="31" s="1"/>
  <c r="F4" i="31" s="1"/>
  <c r="O6" i="31"/>
  <c r="O5" i="31" s="1"/>
  <c r="O4" i="31" s="1"/>
  <c r="D6" i="31"/>
  <c r="AG6" i="31"/>
  <c r="AG5" i="31" s="1"/>
  <c r="AG4" i="31" s="1"/>
  <c r="AF6" i="31"/>
  <c r="AF5" i="31" s="1"/>
  <c r="AF4" i="31" s="1"/>
  <c r="L6" i="31"/>
  <c r="L5" i="31" s="1"/>
  <c r="L4" i="31" s="1"/>
  <c r="K6" i="31"/>
  <c r="K5" i="31" s="1"/>
  <c r="K4" i="31" s="1"/>
  <c r="E6" i="31"/>
  <c r="E5" i="31" s="1"/>
  <c r="E4" i="31" s="1"/>
  <c r="H6" i="31"/>
  <c r="H5" i="31" s="1"/>
  <c r="H4" i="31" s="1"/>
  <c r="S41" i="33"/>
  <c r="R42" i="33"/>
  <c r="AL16" i="5"/>
  <c r="C23" i="5"/>
  <c r="AG5" i="27"/>
  <c r="AG4" i="27" s="1"/>
  <c r="T5" i="27"/>
  <c r="T4" i="27" s="1"/>
  <c r="Q5" i="27"/>
  <c r="Q4" i="27" s="1"/>
  <c r="N5" i="27"/>
  <c r="N4" i="27" s="1"/>
  <c r="X5" i="27"/>
  <c r="X4" i="27" s="1"/>
  <c r="AI5" i="27"/>
  <c r="AI4" i="27" s="1"/>
  <c r="AH5" i="27"/>
  <c r="AH4" i="27" s="1"/>
  <c r="R5" i="27"/>
  <c r="R4" i="27" s="1"/>
  <c r="S5" i="27"/>
  <c r="S4" i="27" s="1"/>
  <c r="J5" i="27"/>
  <c r="J4" i="27" s="1"/>
  <c r="I5" i="27"/>
  <c r="I4" i="27" s="1"/>
  <c r="P5" i="27"/>
  <c r="P4" i="27" s="1"/>
  <c r="Z5" i="27"/>
  <c r="Z4" i="27" s="1"/>
  <c r="AL5" i="27"/>
  <c r="AL4" i="27" s="1"/>
  <c r="AC5" i="27"/>
  <c r="AC4" i="27" s="1"/>
  <c r="Y5" i="27"/>
  <c r="Y4" i="27" s="1"/>
  <c r="AB5" i="27"/>
  <c r="AB4" i="27" s="1"/>
  <c r="AD5" i="27"/>
  <c r="AD4" i="27" s="1"/>
  <c r="AJ5" i="27"/>
  <c r="AJ4" i="27" s="1"/>
  <c r="AE5" i="27"/>
  <c r="AE4" i="27" s="1"/>
  <c r="V5" i="27"/>
  <c r="V4" i="27" s="1"/>
  <c r="E5" i="27"/>
  <c r="E4" i="27" s="1"/>
  <c r="K5" i="27"/>
  <c r="K4" i="27" s="1"/>
  <c r="AA5" i="27"/>
  <c r="AA4" i="27" s="1"/>
  <c r="AK5" i="27"/>
  <c r="AK4" i="27" s="1"/>
  <c r="L5" i="27"/>
  <c r="L4" i="27" s="1"/>
  <c r="G5" i="27"/>
  <c r="G4" i="27" s="1"/>
  <c r="F5" i="27"/>
  <c r="F4" i="27" s="1"/>
  <c r="AF5" i="27"/>
  <c r="AF4" i="27" s="1"/>
  <c r="D5" i="27"/>
  <c r="M5" i="27"/>
  <c r="M4" i="27" s="1"/>
  <c r="H5" i="27"/>
  <c r="H4" i="27" s="1"/>
  <c r="W5" i="27"/>
  <c r="W4" i="27" s="1"/>
  <c r="O5" i="27"/>
  <c r="O4" i="27" s="1"/>
  <c r="U5" i="27"/>
  <c r="U4" i="27" s="1"/>
  <c r="AG8" i="35"/>
  <c r="AB69" i="25"/>
  <c r="AB15" i="35"/>
  <c r="AD22" i="25"/>
  <c r="AD21" i="27"/>
  <c r="AD37" i="5"/>
  <c r="AD36" i="5" s="1"/>
  <c r="AD58" i="5" s="1"/>
  <c r="AD62" i="5" s="1"/>
  <c r="AC35" i="25"/>
  <c r="AC12" i="25"/>
  <c r="AE8" i="34"/>
  <c r="AD7" i="34"/>
  <c r="AF17" i="29"/>
  <c r="AE9" i="34"/>
  <c r="AE9" i="35"/>
  <c r="AE7" i="35" s="1"/>
  <c r="AC37" i="27"/>
  <c r="AC15" i="34" s="1"/>
  <c r="AC12" i="27"/>
  <c r="AC10" i="34"/>
  <c r="AD12" i="34"/>
  <c r="AC12" i="35"/>
  <c r="AB10" i="35"/>
  <c r="AG11" i="35"/>
  <c r="Q38" i="23"/>
  <c r="R33" i="23" s="1"/>
  <c r="R35" i="23" s="1"/>
  <c r="R36" i="23" s="1"/>
  <c r="R8" i="23" s="1"/>
  <c r="P29" i="32"/>
  <c r="P28" i="32" s="1"/>
  <c r="P23" i="27"/>
  <c r="D13" i="29"/>
  <c r="Q25" i="23"/>
  <c r="Q7" i="23"/>
  <c r="R43" i="23"/>
  <c r="R44" i="23" s="1"/>
  <c r="R20" i="23" s="1"/>
  <c r="R19" i="23" s="1"/>
  <c r="C6" i="31" l="1"/>
  <c r="D5" i="31"/>
  <c r="N6" i="6"/>
  <c r="N4" i="25"/>
  <c r="N7" i="6"/>
  <c r="N5" i="6"/>
  <c r="AD5" i="6"/>
  <c r="AD7" i="6"/>
  <c r="AD6" i="6"/>
  <c r="AD4" i="25"/>
  <c r="T5" i="6"/>
  <c r="T4" i="25"/>
  <c r="T6" i="6"/>
  <c r="T7" i="6"/>
  <c r="AC6" i="6"/>
  <c r="AC7" i="6"/>
  <c r="AC4" i="25"/>
  <c r="AC5" i="6"/>
  <c r="K6" i="6"/>
  <c r="K7" i="6"/>
  <c r="K5" i="6"/>
  <c r="K4" i="25"/>
  <c r="P6" i="6"/>
  <c r="P7" i="6"/>
  <c r="P5" i="6"/>
  <c r="P4" i="25"/>
  <c r="AJ6" i="6"/>
  <c r="AJ4" i="25"/>
  <c r="AJ5" i="6"/>
  <c r="AJ7" i="6"/>
  <c r="L5" i="6"/>
  <c r="L7" i="6"/>
  <c r="L4" i="25"/>
  <c r="L6" i="6"/>
  <c r="Q5" i="6"/>
  <c r="Q6" i="6"/>
  <c r="Q7" i="6"/>
  <c r="Q4" i="25"/>
  <c r="U5" i="6"/>
  <c r="U4" i="25"/>
  <c r="U7" i="6"/>
  <c r="U6" i="6"/>
  <c r="AH4" i="25"/>
  <c r="AH6" i="6"/>
  <c r="AH5" i="6"/>
  <c r="AH7" i="6"/>
  <c r="F4" i="25"/>
  <c r="F6" i="6"/>
  <c r="F5" i="6"/>
  <c r="F7" i="6"/>
  <c r="I5" i="6"/>
  <c r="I7" i="6"/>
  <c r="I6" i="6"/>
  <c r="I4" i="25"/>
  <c r="Z6" i="6"/>
  <c r="Z5" i="6"/>
  <c r="Z7" i="6"/>
  <c r="Z4" i="25"/>
  <c r="AB4" i="25"/>
  <c r="AB7" i="6"/>
  <c r="AB6" i="6"/>
  <c r="AB5" i="6"/>
  <c r="AE6" i="6"/>
  <c r="AE5" i="6"/>
  <c r="AE7" i="6"/>
  <c r="AE4" i="25"/>
  <c r="G7" i="6"/>
  <c r="G5" i="6"/>
  <c r="G4" i="25"/>
  <c r="G6" i="6"/>
  <c r="D5" i="32"/>
  <c r="C6" i="32"/>
  <c r="AL15" i="25"/>
  <c r="C15" i="25" s="1"/>
  <c r="AL15" i="27"/>
  <c r="C16" i="5"/>
  <c r="H6" i="6"/>
  <c r="H7" i="6"/>
  <c r="H5" i="6"/>
  <c r="H4" i="25"/>
  <c r="C5" i="25"/>
  <c r="D5" i="6"/>
  <c r="D4" i="25"/>
  <c r="D7" i="6"/>
  <c r="D6" i="6"/>
  <c r="AF5" i="6"/>
  <c r="AF7" i="6"/>
  <c r="AF6" i="6"/>
  <c r="AF4" i="25"/>
  <c r="R7" i="6"/>
  <c r="R6" i="6"/>
  <c r="R4" i="25"/>
  <c r="R5" i="6"/>
  <c r="O7" i="6"/>
  <c r="O4" i="25"/>
  <c r="O5" i="6"/>
  <c r="O6" i="6"/>
  <c r="AI5" i="6"/>
  <c r="AI7" i="6"/>
  <c r="AI6" i="6"/>
  <c r="AI4" i="25"/>
  <c r="X7" i="6"/>
  <c r="X5" i="6"/>
  <c r="X6" i="6"/>
  <c r="X4" i="25"/>
  <c r="AL6" i="6"/>
  <c r="AL7" i="6"/>
  <c r="AL4" i="25"/>
  <c r="AL5" i="6"/>
  <c r="AA6" i="6"/>
  <c r="AA5" i="6"/>
  <c r="AA4" i="25"/>
  <c r="AA7" i="6"/>
  <c r="D4" i="27"/>
  <c r="C5" i="27"/>
  <c r="S6" i="6"/>
  <c r="S5" i="6"/>
  <c r="S7" i="6"/>
  <c r="S4" i="25"/>
  <c r="M4" i="25"/>
  <c r="M6" i="6"/>
  <c r="M7" i="6"/>
  <c r="M5" i="6"/>
  <c r="Y6" i="6"/>
  <c r="Y4" i="25"/>
  <c r="Y5" i="6"/>
  <c r="Y7" i="6"/>
  <c r="W7" i="6"/>
  <c r="W5" i="6"/>
  <c r="W4" i="25"/>
  <c r="W6" i="6"/>
  <c r="V6" i="6"/>
  <c r="V5" i="6"/>
  <c r="V4" i="25"/>
  <c r="V7" i="6"/>
  <c r="AK6" i="6"/>
  <c r="AK7" i="6"/>
  <c r="AK4" i="25"/>
  <c r="AK5" i="6"/>
  <c r="J6" i="6"/>
  <c r="J7" i="6"/>
  <c r="J4" i="25"/>
  <c r="J5" i="6"/>
  <c r="E4" i="25"/>
  <c r="E7" i="6"/>
  <c r="E6" i="6"/>
  <c r="E5" i="6"/>
  <c r="AG4" i="25"/>
  <c r="AG5" i="6"/>
  <c r="AG6" i="6"/>
  <c r="AG7" i="6"/>
  <c r="AG17" i="29"/>
  <c r="AF9" i="34"/>
  <c r="AF9" i="35"/>
  <c r="AF7" i="35" s="1"/>
  <c r="AC15" i="35"/>
  <c r="AC69" i="25"/>
  <c r="AF8" i="34"/>
  <c r="AE7" i="34"/>
  <c r="AD12" i="27"/>
  <c r="AD37" i="27"/>
  <c r="AD15" i="34" s="1"/>
  <c r="AE21" i="27"/>
  <c r="AE37" i="5"/>
  <c r="AE36" i="5" s="1"/>
  <c r="AE58" i="5" s="1"/>
  <c r="AE62" i="5" s="1"/>
  <c r="AE22" i="25"/>
  <c r="AD12" i="25"/>
  <c r="AD35" i="25"/>
  <c r="AH8" i="35"/>
  <c r="AD12" i="35"/>
  <c r="AC10" i="35"/>
  <c r="AD10" i="34"/>
  <c r="AE12" i="34"/>
  <c r="AH11" i="35"/>
  <c r="R38" i="23"/>
  <c r="S33" i="23" s="1"/>
  <c r="S35" i="23" s="1"/>
  <c r="S36" i="23" s="1"/>
  <c r="S8" i="23" s="1"/>
  <c r="R46" i="23"/>
  <c r="S41" i="23" s="1"/>
  <c r="Q24" i="23"/>
  <c r="Q5" i="24"/>
  <c r="Q4" i="24" s="1"/>
  <c r="Q12" i="24" s="1"/>
  <c r="Q25" i="27" s="1"/>
  <c r="R25" i="23"/>
  <c r="R7" i="23"/>
  <c r="AG8" i="25" l="1"/>
  <c r="AG4" i="6"/>
  <c r="AG8" i="27"/>
  <c r="E10" i="25"/>
  <c r="E10" i="27"/>
  <c r="J10" i="27"/>
  <c r="J10" i="25"/>
  <c r="AK10" i="27"/>
  <c r="AK10" i="25"/>
  <c r="V8" i="25"/>
  <c r="V4" i="6"/>
  <c r="V8" i="27"/>
  <c r="W8" i="25"/>
  <c r="W8" i="27"/>
  <c r="W4" i="6"/>
  <c r="M9" i="27"/>
  <c r="M9" i="25"/>
  <c r="S8" i="27"/>
  <c r="S4" i="6"/>
  <c r="S8" i="25"/>
  <c r="C4" i="27"/>
  <c r="AA9" i="27"/>
  <c r="AA9" i="25"/>
  <c r="AL9" i="25"/>
  <c r="AL9" i="27"/>
  <c r="X10" i="27"/>
  <c r="X10" i="25"/>
  <c r="AI4" i="6"/>
  <c r="AI8" i="27"/>
  <c r="AI8" i="25"/>
  <c r="O10" i="25"/>
  <c r="O10" i="27"/>
  <c r="R10" i="25"/>
  <c r="R10" i="27"/>
  <c r="AF8" i="25"/>
  <c r="AF4" i="6"/>
  <c r="AF8" i="27"/>
  <c r="D8" i="27"/>
  <c r="D4" i="6"/>
  <c r="D8" i="25"/>
  <c r="C5" i="6"/>
  <c r="H10" i="27"/>
  <c r="H10" i="25"/>
  <c r="AL15" i="32"/>
  <c r="C15" i="32" s="1"/>
  <c r="AL12" i="31"/>
  <c r="C12" i="31" s="1"/>
  <c r="C15" i="27"/>
  <c r="C5" i="32"/>
  <c r="G10" i="25"/>
  <c r="G10" i="27"/>
  <c r="AE9" i="25"/>
  <c r="AE9" i="27"/>
  <c r="Z9" i="25"/>
  <c r="Z9" i="27"/>
  <c r="I8" i="27"/>
  <c r="I8" i="25"/>
  <c r="I4" i="6"/>
  <c r="U8" i="25"/>
  <c r="U8" i="27"/>
  <c r="U4" i="6"/>
  <c r="Q8" i="25"/>
  <c r="Q8" i="27"/>
  <c r="Q4" i="6"/>
  <c r="L8" i="27"/>
  <c r="L4" i="6"/>
  <c r="L8" i="25"/>
  <c r="AJ9" i="27"/>
  <c r="AJ9" i="25"/>
  <c r="P9" i="27"/>
  <c r="P9" i="25"/>
  <c r="K9" i="25"/>
  <c r="K9" i="27"/>
  <c r="AC9" i="25"/>
  <c r="AC9" i="27"/>
  <c r="T8" i="27"/>
  <c r="T8" i="25"/>
  <c r="T4" i="6"/>
  <c r="AD8" i="27"/>
  <c r="AD8" i="25"/>
  <c r="AD4" i="6"/>
  <c r="N9" i="25"/>
  <c r="N9" i="27"/>
  <c r="J9" i="25"/>
  <c r="J9" i="27"/>
  <c r="AK9" i="25"/>
  <c r="AK9" i="27"/>
  <c r="V9" i="27"/>
  <c r="V9" i="25"/>
  <c r="W10" i="27"/>
  <c r="W10" i="25"/>
  <c r="Y9" i="27"/>
  <c r="Y9" i="25"/>
  <c r="S9" i="27"/>
  <c r="S9" i="25"/>
  <c r="AA10" i="25"/>
  <c r="AA10" i="27"/>
  <c r="AL8" i="27"/>
  <c r="AL4" i="6"/>
  <c r="AL8" i="25"/>
  <c r="O9" i="27"/>
  <c r="O9" i="25"/>
  <c r="R8" i="27"/>
  <c r="R8" i="25"/>
  <c r="R4" i="6"/>
  <c r="D9" i="27"/>
  <c r="D9" i="25"/>
  <c r="C6" i="6"/>
  <c r="H9" i="27"/>
  <c r="H9" i="25"/>
  <c r="G9" i="25"/>
  <c r="G9" i="27"/>
  <c r="AB8" i="27"/>
  <c r="AB4" i="6"/>
  <c r="AB8" i="25"/>
  <c r="F10" i="25"/>
  <c r="F10" i="27"/>
  <c r="AH10" i="25"/>
  <c r="AH10" i="27"/>
  <c r="U9" i="27"/>
  <c r="U9" i="25"/>
  <c r="L9" i="27"/>
  <c r="L9" i="25"/>
  <c r="AJ10" i="27"/>
  <c r="AJ10" i="25"/>
  <c r="AC8" i="27"/>
  <c r="AC8" i="25"/>
  <c r="AC4" i="6"/>
  <c r="T10" i="25"/>
  <c r="T10" i="27"/>
  <c r="N4" i="6"/>
  <c r="N8" i="27"/>
  <c r="N8" i="25"/>
  <c r="D4" i="31"/>
  <c r="C5" i="31"/>
  <c r="AG10" i="25"/>
  <c r="AG10" i="27"/>
  <c r="E8" i="27"/>
  <c r="E4" i="6"/>
  <c r="E8" i="25"/>
  <c r="J8" i="27"/>
  <c r="J4" i="6"/>
  <c r="J8" i="25"/>
  <c r="AK8" i="25"/>
  <c r="AK8" i="27"/>
  <c r="AK4" i="6"/>
  <c r="V10" i="25"/>
  <c r="V10" i="27"/>
  <c r="W9" i="27"/>
  <c r="W9" i="25"/>
  <c r="Y10" i="25"/>
  <c r="Y10" i="27"/>
  <c r="M8" i="25"/>
  <c r="M4" i="6"/>
  <c r="M8" i="27"/>
  <c r="X9" i="25"/>
  <c r="X9" i="27"/>
  <c r="AI9" i="27"/>
  <c r="AI9" i="25"/>
  <c r="O8" i="27"/>
  <c r="O4" i="6"/>
  <c r="O8" i="25"/>
  <c r="AF9" i="25"/>
  <c r="AF9" i="27"/>
  <c r="D10" i="27"/>
  <c r="D10" i="25"/>
  <c r="C7" i="6"/>
  <c r="AE10" i="27"/>
  <c r="AE10" i="25"/>
  <c r="AB9" i="27"/>
  <c r="AB9" i="25"/>
  <c r="Z10" i="27"/>
  <c r="Z10" i="25"/>
  <c r="I9" i="27"/>
  <c r="I9" i="25"/>
  <c r="F4" i="6"/>
  <c r="F8" i="27"/>
  <c r="F8" i="25"/>
  <c r="AH4" i="6"/>
  <c r="AH8" i="25"/>
  <c r="AH8" i="27"/>
  <c r="U10" i="27"/>
  <c r="U10" i="25"/>
  <c r="Q10" i="27"/>
  <c r="Q10" i="25"/>
  <c r="AJ8" i="27"/>
  <c r="AJ8" i="25"/>
  <c r="AJ4" i="6"/>
  <c r="P4" i="6"/>
  <c r="P8" i="27"/>
  <c r="P8" i="25"/>
  <c r="K8" i="25"/>
  <c r="K4" i="6"/>
  <c r="K8" i="27"/>
  <c r="T9" i="27"/>
  <c r="T9" i="25"/>
  <c r="AD9" i="25"/>
  <c r="AD9" i="27"/>
  <c r="N10" i="25"/>
  <c r="N10" i="27"/>
  <c r="AG9" i="27"/>
  <c r="AG9" i="25"/>
  <c r="E9" i="27"/>
  <c r="E9" i="25"/>
  <c r="Y8" i="27"/>
  <c r="Y4" i="6"/>
  <c r="Y8" i="25"/>
  <c r="M10" i="25"/>
  <c r="M10" i="27"/>
  <c r="S10" i="25"/>
  <c r="S10" i="27"/>
  <c r="AA8" i="27"/>
  <c r="AA4" i="6"/>
  <c r="AA8" i="25"/>
  <c r="AL10" i="27"/>
  <c r="AL10" i="25"/>
  <c r="X8" i="25"/>
  <c r="X4" i="6"/>
  <c r="X8" i="27"/>
  <c r="AI10" i="27"/>
  <c r="AI10" i="25"/>
  <c r="R9" i="27"/>
  <c r="R9" i="25"/>
  <c r="AF10" i="27"/>
  <c r="AF10" i="25"/>
  <c r="C4" i="25"/>
  <c r="H8" i="27"/>
  <c r="H8" i="25"/>
  <c r="H4" i="6"/>
  <c r="G8" i="25"/>
  <c r="G8" i="27"/>
  <c r="G4" i="6"/>
  <c r="AE8" i="27"/>
  <c r="AE4" i="6"/>
  <c r="AE8" i="25"/>
  <c r="AB10" i="27"/>
  <c r="AB10" i="25"/>
  <c r="Z8" i="27"/>
  <c r="Z8" i="25"/>
  <c r="Z4" i="6"/>
  <c r="I10" i="27"/>
  <c r="I10" i="25"/>
  <c r="F9" i="27"/>
  <c r="F9" i="25"/>
  <c r="AH9" i="25"/>
  <c r="AH9" i="27"/>
  <c r="Q9" i="27"/>
  <c r="Q9" i="25"/>
  <c r="L10" i="25"/>
  <c r="L10" i="27"/>
  <c r="P10" i="25"/>
  <c r="P10" i="27"/>
  <c r="K10" i="25"/>
  <c r="K10" i="27"/>
  <c r="AC10" i="25"/>
  <c r="AC10" i="27"/>
  <c r="AD10" i="25"/>
  <c r="AD10" i="27"/>
  <c r="AI8" i="35"/>
  <c r="AD69" i="25"/>
  <c r="AD15" i="35"/>
  <c r="AE12" i="27"/>
  <c r="AE37" i="27"/>
  <c r="AE15" i="34" s="1"/>
  <c r="AG8" i="34"/>
  <c r="AF7" i="34"/>
  <c r="AF21" i="27"/>
  <c r="AF22" i="25"/>
  <c r="AF37" i="5"/>
  <c r="AF36" i="5" s="1"/>
  <c r="AF58" i="5" s="1"/>
  <c r="AF62" i="5" s="1"/>
  <c r="AE12" i="25"/>
  <c r="AE35" i="25"/>
  <c r="AH17" i="29"/>
  <c r="AG9" i="34"/>
  <c r="AG9" i="35"/>
  <c r="AG7" i="35" s="1"/>
  <c r="AF12" i="34"/>
  <c r="AE10" i="34"/>
  <c r="AI11" i="35"/>
  <c r="AE12" i="35"/>
  <c r="AD10" i="35"/>
  <c r="S38" i="23"/>
  <c r="T33" i="23" s="1"/>
  <c r="T35" i="23" s="1"/>
  <c r="T36" i="23" s="1"/>
  <c r="T8" i="23" s="1"/>
  <c r="R5" i="24"/>
  <c r="R4" i="24" s="1"/>
  <c r="R12" i="24" s="1"/>
  <c r="R25" i="27" s="1"/>
  <c r="R24" i="23"/>
  <c r="Q29" i="32"/>
  <c r="Q28" i="32" s="1"/>
  <c r="Q23" i="27"/>
  <c r="S7" i="23"/>
  <c r="S43" i="23"/>
  <c r="S44" i="23" s="1"/>
  <c r="S20" i="23" s="1"/>
  <c r="S19" i="23" s="1"/>
  <c r="G7" i="27" l="1"/>
  <c r="G21" i="32" s="1"/>
  <c r="AJ7" i="27"/>
  <c r="AJ19" i="31" s="1"/>
  <c r="AE7" i="27"/>
  <c r="AE19" i="31" s="1"/>
  <c r="X7" i="25"/>
  <c r="X11" i="25" s="1"/>
  <c r="X23" i="25" s="1"/>
  <c r="X24" i="25" s="1"/>
  <c r="X29" i="25" s="1"/>
  <c r="X63" i="25" s="1"/>
  <c r="J7" i="27"/>
  <c r="J19" i="31" s="1"/>
  <c r="AA7" i="25"/>
  <c r="AA11" i="25" s="1"/>
  <c r="AA23" i="25" s="1"/>
  <c r="AA24" i="25" s="1"/>
  <c r="AA29" i="25" s="1"/>
  <c r="AA63" i="25" s="1"/>
  <c r="O7" i="25"/>
  <c r="O11" i="25" s="1"/>
  <c r="O23" i="25" s="1"/>
  <c r="O24" i="25" s="1"/>
  <c r="O29" i="25" s="1"/>
  <c r="O63" i="25" s="1"/>
  <c r="AA7" i="27"/>
  <c r="AA21" i="32" s="1"/>
  <c r="AE7" i="25"/>
  <c r="AE11" i="25" s="1"/>
  <c r="AE23" i="25" s="1"/>
  <c r="AE24" i="25" s="1"/>
  <c r="AE29" i="25" s="1"/>
  <c r="AE63" i="25" s="1"/>
  <c r="H7" i="27"/>
  <c r="H21" i="32" s="1"/>
  <c r="X7" i="27"/>
  <c r="X21" i="32" s="1"/>
  <c r="Y7" i="25"/>
  <c r="Y11" i="25" s="1"/>
  <c r="Y23" i="25" s="1"/>
  <c r="Y24" i="25" s="1"/>
  <c r="Y29" i="25" s="1"/>
  <c r="Y63" i="25" s="1"/>
  <c r="AJ7" i="25"/>
  <c r="AJ11" i="25" s="1"/>
  <c r="J7" i="25"/>
  <c r="J11" i="25" s="1"/>
  <c r="J23" i="25" s="1"/>
  <c r="J24" i="25" s="1"/>
  <c r="J29" i="25" s="1"/>
  <c r="J63" i="25" s="1"/>
  <c r="G7" i="25"/>
  <c r="G11" i="25" s="1"/>
  <c r="G23" i="25" s="1"/>
  <c r="G24" i="25" s="1"/>
  <c r="G29" i="25" s="1"/>
  <c r="Z7" i="27"/>
  <c r="Z19" i="31" s="1"/>
  <c r="AK7" i="27"/>
  <c r="AK21" i="32" s="1"/>
  <c r="H7" i="25"/>
  <c r="H11" i="25" s="1"/>
  <c r="H23" i="25" s="1"/>
  <c r="H24" i="25" s="1"/>
  <c r="H29" i="25" s="1"/>
  <c r="H63" i="25" s="1"/>
  <c r="O7" i="27"/>
  <c r="O19" i="31" s="1"/>
  <c r="AK7" i="25"/>
  <c r="AK11" i="25" s="1"/>
  <c r="Z7" i="25"/>
  <c r="Z11" i="25" s="1"/>
  <c r="Z23" i="25" s="1"/>
  <c r="Z24" i="25" s="1"/>
  <c r="Z29" i="25" s="1"/>
  <c r="Z63" i="25" s="1"/>
  <c r="Y7" i="27"/>
  <c r="Y11" i="27" s="1"/>
  <c r="Y22" i="27" s="1"/>
  <c r="K7" i="27"/>
  <c r="P7" i="27"/>
  <c r="F7" i="25"/>
  <c r="F11" i="25" s="1"/>
  <c r="F23" i="25" s="1"/>
  <c r="F24" i="25" s="1"/>
  <c r="C10" i="25"/>
  <c r="E7" i="27"/>
  <c r="C4" i="31"/>
  <c r="AC7" i="27"/>
  <c r="C9" i="27"/>
  <c r="AL7" i="27"/>
  <c r="AD7" i="27"/>
  <c r="L7" i="25"/>
  <c r="L11" i="25" s="1"/>
  <c r="L23" i="25" s="1"/>
  <c r="L24" i="25" s="1"/>
  <c r="L29" i="25" s="1"/>
  <c r="L63" i="25" s="1"/>
  <c r="Q7" i="27"/>
  <c r="U7" i="25"/>
  <c r="U11" i="25" s="1"/>
  <c r="U23" i="25" s="1"/>
  <c r="U24" i="25" s="1"/>
  <c r="U29" i="25" s="1"/>
  <c r="U63" i="25" s="1"/>
  <c r="C8" i="27"/>
  <c r="D7" i="27"/>
  <c r="AI7" i="25"/>
  <c r="AI11" i="25" s="1"/>
  <c r="AG7" i="27"/>
  <c r="AH7" i="27"/>
  <c r="F7" i="27"/>
  <c r="C10" i="27"/>
  <c r="M7" i="25"/>
  <c r="M11" i="25" s="1"/>
  <c r="M23" i="25" s="1"/>
  <c r="M24" i="25" s="1"/>
  <c r="M29" i="25" s="1"/>
  <c r="M63" i="25" s="1"/>
  <c r="N7" i="25"/>
  <c r="N11" i="25" s="1"/>
  <c r="N23" i="25" s="1"/>
  <c r="N24" i="25" s="1"/>
  <c r="N29" i="25" s="1"/>
  <c r="N63" i="25" s="1"/>
  <c r="AB7" i="27"/>
  <c r="Q7" i="25"/>
  <c r="Q11" i="25" s="1"/>
  <c r="Q23" i="25" s="1"/>
  <c r="Q24" i="25" s="1"/>
  <c r="Q29" i="25" s="1"/>
  <c r="Q63" i="25" s="1"/>
  <c r="AF7" i="27"/>
  <c r="AI7" i="27"/>
  <c r="S7" i="27"/>
  <c r="W7" i="27"/>
  <c r="V7" i="25"/>
  <c r="V11" i="25" s="1"/>
  <c r="V23" i="25" s="1"/>
  <c r="V24" i="25" s="1"/>
  <c r="V29" i="25" s="1"/>
  <c r="V63" i="25" s="1"/>
  <c r="K7" i="25"/>
  <c r="K11" i="25" s="1"/>
  <c r="K23" i="25" s="1"/>
  <c r="K24" i="25" s="1"/>
  <c r="K29" i="25" s="1"/>
  <c r="K63" i="25" s="1"/>
  <c r="AH7" i="25"/>
  <c r="AH11" i="25" s="1"/>
  <c r="E7" i="25"/>
  <c r="E11" i="25" s="1"/>
  <c r="E23" i="25" s="1"/>
  <c r="E24" i="25" s="1"/>
  <c r="N7" i="27"/>
  <c r="R7" i="25"/>
  <c r="R11" i="25" s="1"/>
  <c r="R23" i="25" s="1"/>
  <c r="R24" i="25" s="1"/>
  <c r="R29" i="25" s="1"/>
  <c r="R63" i="25" s="1"/>
  <c r="AL7" i="25"/>
  <c r="AL11" i="25" s="1"/>
  <c r="T7" i="25"/>
  <c r="T11" i="25" s="1"/>
  <c r="T23" i="25" s="1"/>
  <c r="T24" i="25" s="1"/>
  <c r="T29" i="25" s="1"/>
  <c r="T63" i="25" s="1"/>
  <c r="L7" i="27"/>
  <c r="I7" i="25"/>
  <c r="I11" i="25" s="1"/>
  <c r="I23" i="25" s="1"/>
  <c r="I24" i="25" s="1"/>
  <c r="I29" i="25" s="1"/>
  <c r="I63" i="25" s="1"/>
  <c r="D7" i="25"/>
  <c r="C8" i="25"/>
  <c r="W7" i="25"/>
  <c r="W11" i="25" s="1"/>
  <c r="W23" i="25" s="1"/>
  <c r="W24" i="25" s="1"/>
  <c r="W29" i="25" s="1"/>
  <c r="W63" i="25" s="1"/>
  <c r="AG7" i="25"/>
  <c r="AG11" i="25" s="1"/>
  <c r="P7" i="25"/>
  <c r="P11" i="25" s="1"/>
  <c r="P23" i="25" s="1"/>
  <c r="P24" i="25" s="1"/>
  <c r="P29" i="25" s="1"/>
  <c r="P63" i="25" s="1"/>
  <c r="M7" i="27"/>
  <c r="AC7" i="25"/>
  <c r="AC11" i="25" s="1"/>
  <c r="AC23" i="25" s="1"/>
  <c r="AC24" i="25" s="1"/>
  <c r="AC29" i="25" s="1"/>
  <c r="AC63" i="25" s="1"/>
  <c r="AB7" i="25"/>
  <c r="AB11" i="25" s="1"/>
  <c r="AB23" i="25" s="1"/>
  <c r="AB24" i="25" s="1"/>
  <c r="AB29" i="25" s="1"/>
  <c r="AB63" i="25" s="1"/>
  <c r="C9" i="25"/>
  <c r="R7" i="27"/>
  <c r="AD7" i="25"/>
  <c r="AD11" i="25" s="1"/>
  <c r="AD23" i="25" s="1"/>
  <c r="AD24" i="25" s="1"/>
  <c r="AD29" i="25" s="1"/>
  <c r="AD63" i="25" s="1"/>
  <c r="T7" i="27"/>
  <c r="U7" i="27"/>
  <c r="I7" i="27"/>
  <c r="C4" i="6"/>
  <c r="AF7" i="25"/>
  <c r="AF11" i="25" s="1"/>
  <c r="S7" i="25"/>
  <c r="S11" i="25" s="1"/>
  <c r="S23" i="25" s="1"/>
  <c r="S24" i="25" s="1"/>
  <c r="S29" i="25" s="1"/>
  <c r="S63" i="25" s="1"/>
  <c r="V7" i="27"/>
  <c r="AG37" i="5"/>
  <c r="AG21" i="27"/>
  <c r="AG22" i="25"/>
  <c r="AH8" i="34"/>
  <c r="AG7" i="34"/>
  <c r="AI17" i="29"/>
  <c r="AH9" i="35"/>
  <c r="AH7" i="35" s="1"/>
  <c r="AH9" i="34"/>
  <c r="AF12" i="25"/>
  <c r="AF35" i="25"/>
  <c r="AE69" i="25"/>
  <c r="AE15" i="35"/>
  <c r="AF37" i="27"/>
  <c r="AF15" i="34" s="1"/>
  <c r="AF12" i="27"/>
  <c r="AJ8" i="35"/>
  <c r="T38" i="23"/>
  <c r="U33" i="23" s="1"/>
  <c r="U35" i="23" s="1"/>
  <c r="U36" i="23" s="1"/>
  <c r="U8" i="23" s="1"/>
  <c r="AJ11" i="35"/>
  <c r="AF12" i="35"/>
  <c r="AE10" i="35"/>
  <c r="AF10" i="34"/>
  <c r="AG12" i="34"/>
  <c r="S46" i="23"/>
  <c r="T41" i="23" s="1"/>
  <c r="T43" i="23" s="1"/>
  <c r="T44" i="23" s="1"/>
  <c r="T20" i="23" s="1"/>
  <c r="T19" i="23" s="1"/>
  <c r="T7" i="23"/>
  <c r="S25" i="23"/>
  <c r="R23" i="27"/>
  <c r="R29" i="32"/>
  <c r="R28" i="32" s="1"/>
  <c r="AJ21" i="32" l="1"/>
  <c r="AE21" i="32"/>
  <c r="AJ11" i="27"/>
  <c r="G11" i="27"/>
  <c r="G22" i="27" s="1"/>
  <c r="G26" i="27" s="1"/>
  <c r="G31" i="27" s="1"/>
  <c r="AA19" i="31"/>
  <c r="J21" i="32"/>
  <c r="AE11" i="27"/>
  <c r="AE22" i="27" s="1"/>
  <c r="G19" i="31"/>
  <c r="Z11" i="27"/>
  <c r="Z22" i="27" s="1"/>
  <c r="J11" i="27"/>
  <c r="J22" i="27" s="1"/>
  <c r="J26" i="27" s="1"/>
  <c r="J31" i="27" s="1"/>
  <c r="J47" i="27" s="1"/>
  <c r="Z21" i="32"/>
  <c r="AA11" i="27"/>
  <c r="AA22" i="27" s="1"/>
  <c r="AF23" i="25"/>
  <c r="AF24" i="25" s="1"/>
  <c r="AF29" i="25" s="1"/>
  <c r="AF63" i="25" s="1"/>
  <c r="X11" i="27"/>
  <c r="X22" i="27" s="1"/>
  <c r="H11" i="27"/>
  <c r="H22" i="27" s="1"/>
  <c r="H26" i="27" s="1"/>
  <c r="H31" i="27" s="1"/>
  <c r="H19" i="31"/>
  <c r="O11" i="27"/>
  <c r="O22" i="27" s="1"/>
  <c r="O26" i="27" s="1"/>
  <c r="O31" i="27" s="1"/>
  <c r="O47" i="27" s="1"/>
  <c r="O21" i="32"/>
  <c r="X19" i="31"/>
  <c r="AK11" i="27"/>
  <c r="Y19" i="31"/>
  <c r="Y21" i="32"/>
  <c r="AK19" i="31"/>
  <c r="V19" i="31"/>
  <c r="V21" i="32"/>
  <c r="V11" i="27"/>
  <c r="V22" i="27" s="1"/>
  <c r="I21" i="32"/>
  <c r="I19" i="31"/>
  <c r="I11" i="27"/>
  <c r="I22" i="27" s="1"/>
  <c r="I26" i="27" s="1"/>
  <c r="I31" i="27" s="1"/>
  <c r="R19" i="31"/>
  <c r="R21" i="32"/>
  <c r="R11" i="27"/>
  <c r="R22" i="27" s="1"/>
  <c r="R26" i="27" s="1"/>
  <c r="R31" i="27" s="1"/>
  <c r="R47" i="27" s="1"/>
  <c r="M21" i="32"/>
  <c r="M19" i="31"/>
  <c r="M11" i="27"/>
  <c r="M22" i="27" s="1"/>
  <c r="M26" i="27" s="1"/>
  <c r="M31" i="27" s="1"/>
  <c r="M47" i="27" s="1"/>
  <c r="AI11" i="27"/>
  <c r="AI21" i="32"/>
  <c r="AI19" i="31"/>
  <c r="AG21" i="32"/>
  <c r="AG19" i="31"/>
  <c r="AG11" i="27"/>
  <c r="AL11" i="27"/>
  <c r="AL21" i="32"/>
  <c r="AL19" i="31"/>
  <c r="K21" i="32"/>
  <c r="K19" i="31"/>
  <c r="K11" i="27"/>
  <c r="K22" i="27" s="1"/>
  <c r="K26" i="27" s="1"/>
  <c r="K31" i="27" s="1"/>
  <c r="K47" i="27" s="1"/>
  <c r="U19" i="31"/>
  <c r="U21" i="32"/>
  <c r="U11" i="27"/>
  <c r="U22" i="27" s="1"/>
  <c r="L21" i="32"/>
  <c r="L19" i="31"/>
  <c r="L11" i="27"/>
  <c r="L22" i="27" s="1"/>
  <c r="L26" i="27" s="1"/>
  <c r="L31" i="27" s="1"/>
  <c r="L47" i="27" s="1"/>
  <c r="N19" i="31"/>
  <c r="N21" i="32"/>
  <c r="N11" i="27"/>
  <c r="N22" i="27" s="1"/>
  <c r="N26" i="27" s="1"/>
  <c r="N31" i="27" s="1"/>
  <c r="N47" i="27" s="1"/>
  <c r="AF19" i="31"/>
  <c r="AF21" i="32"/>
  <c r="AF11" i="27"/>
  <c r="AF22" i="27" s="1"/>
  <c r="F11" i="27"/>
  <c r="F22" i="27" s="1"/>
  <c r="F26" i="27" s="1"/>
  <c r="F21" i="32"/>
  <c r="F19" i="31"/>
  <c r="Q19" i="31"/>
  <c r="Q21" i="32"/>
  <c r="Q11" i="27"/>
  <c r="Q22" i="27" s="1"/>
  <c r="Q26" i="27" s="1"/>
  <c r="Q31" i="27" s="1"/>
  <c r="Q47" i="27" s="1"/>
  <c r="E21" i="32"/>
  <c r="E19" i="31"/>
  <c r="E11" i="27"/>
  <c r="E22" i="27" s="1"/>
  <c r="E26" i="27" s="1"/>
  <c r="T19" i="31"/>
  <c r="T21" i="32"/>
  <c r="T11" i="27"/>
  <c r="T22" i="27" s="1"/>
  <c r="G63" i="25"/>
  <c r="E29" i="25"/>
  <c r="W19" i="31"/>
  <c r="W21" i="32"/>
  <c r="W11" i="27"/>
  <c r="W22" i="27" s="1"/>
  <c r="AH21" i="32"/>
  <c r="AH19" i="31"/>
  <c r="AH11" i="27"/>
  <c r="D19" i="31"/>
  <c r="C7" i="27"/>
  <c r="D21" i="32"/>
  <c r="D11" i="27"/>
  <c r="AC21" i="32"/>
  <c r="AC19" i="31"/>
  <c r="AC11" i="27"/>
  <c r="AC22" i="27" s="1"/>
  <c r="C7" i="25"/>
  <c r="D11" i="25"/>
  <c r="S21" i="32"/>
  <c r="S19" i="31"/>
  <c r="S11" i="27"/>
  <c r="S22" i="27" s="1"/>
  <c r="AB19" i="31"/>
  <c r="AB21" i="32"/>
  <c r="AB11" i="27"/>
  <c r="AB22" i="27" s="1"/>
  <c r="AD11" i="27"/>
  <c r="AD22" i="27" s="1"/>
  <c r="AD19" i="31"/>
  <c r="AD21" i="32"/>
  <c r="F29" i="25"/>
  <c r="P19" i="31"/>
  <c r="P21" i="32"/>
  <c r="P11" i="27"/>
  <c r="P22" i="27" s="1"/>
  <c r="P26" i="27" s="1"/>
  <c r="P31" i="27" s="1"/>
  <c r="P47" i="27" s="1"/>
  <c r="AF69" i="25"/>
  <c r="AF15" i="35"/>
  <c r="AH21" i="27"/>
  <c r="AH22" i="25"/>
  <c r="AH37" i="5"/>
  <c r="AH36" i="5" s="1"/>
  <c r="AH58" i="5" s="1"/>
  <c r="AH62" i="5" s="1"/>
  <c r="AJ17" i="29"/>
  <c r="AI9" i="34"/>
  <c r="AI9" i="35"/>
  <c r="AI7" i="35" s="1"/>
  <c r="AG12" i="25"/>
  <c r="AG35" i="25"/>
  <c r="T46" i="23"/>
  <c r="U41" i="23" s="1"/>
  <c r="U43" i="23" s="1"/>
  <c r="U44" i="23" s="1"/>
  <c r="U20" i="23" s="1"/>
  <c r="U19" i="23" s="1"/>
  <c r="AG37" i="27"/>
  <c r="AG15" i="34" s="1"/>
  <c r="AG12" i="27"/>
  <c r="AK8" i="35"/>
  <c r="AI8" i="34"/>
  <c r="AH7" i="34"/>
  <c r="AG36" i="5"/>
  <c r="AG12" i="35"/>
  <c r="AF10" i="35"/>
  <c r="AH12" i="34"/>
  <c r="AG10" i="34"/>
  <c r="AK11" i="35"/>
  <c r="T25" i="23"/>
  <c r="T5" i="24" s="1"/>
  <c r="T4" i="24" s="1"/>
  <c r="T12" i="24" s="1"/>
  <c r="T25" i="27" s="1"/>
  <c r="U7" i="23"/>
  <c r="S24" i="23"/>
  <c r="S5" i="24"/>
  <c r="S4" i="24" s="1"/>
  <c r="S12" i="24" s="1"/>
  <c r="S25" i="27" s="1"/>
  <c r="U38" i="23"/>
  <c r="V33" i="23" s="1"/>
  <c r="C11" i="27" l="1"/>
  <c r="D22" i="27"/>
  <c r="D26" i="27" s="1"/>
  <c r="C21" i="32"/>
  <c r="E63" i="25"/>
  <c r="H47" i="27"/>
  <c r="I47" i="27"/>
  <c r="F63" i="25"/>
  <c r="C11" i="25"/>
  <c r="D23" i="25"/>
  <c r="D24" i="25" s="1"/>
  <c r="C19" i="31"/>
  <c r="G47" i="27"/>
  <c r="E31" i="27"/>
  <c r="F31" i="27"/>
  <c r="AG58" i="5"/>
  <c r="AG22" i="27"/>
  <c r="AG15" i="35"/>
  <c r="AG69" i="25"/>
  <c r="AI22" i="25"/>
  <c r="AI37" i="5"/>
  <c r="AI21" i="27"/>
  <c r="AH35" i="25"/>
  <c r="AH12" i="25"/>
  <c r="AH23" i="25" s="1"/>
  <c r="AH24" i="25" s="1"/>
  <c r="AH29" i="25" s="1"/>
  <c r="AH63" i="25" s="1"/>
  <c r="AG23" i="25"/>
  <c r="AK17" i="29"/>
  <c r="AJ9" i="34"/>
  <c r="AJ9" i="35"/>
  <c r="AH37" i="27"/>
  <c r="AH15" i="34" s="1"/>
  <c r="AH12" i="27"/>
  <c r="AH22" i="27" s="1"/>
  <c r="AL8" i="35"/>
  <c r="AJ8" i="34"/>
  <c r="AI7" i="34"/>
  <c r="AH10" i="34"/>
  <c r="AI12" i="34"/>
  <c r="T24" i="23"/>
  <c r="AL11" i="35"/>
  <c r="AH12" i="35"/>
  <c r="AG10" i="35"/>
  <c r="S23" i="27"/>
  <c r="S26" i="27" s="1"/>
  <c r="S31" i="27" s="1"/>
  <c r="S47" i="27" s="1"/>
  <c r="S29" i="32"/>
  <c r="S28" i="32" s="1"/>
  <c r="U25" i="23"/>
  <c r="U46" i="23"/>
  <c r="V41" i="23" s="1"/>
  <c r="V35" i="23"/>
  <c r="V36" i="23" s="1"/>
  <c r="V8" i="23" s="1"/>
  <c r="T29" i="32"/>
  <c r="T28" i="32" s="1"/>
  <c r="T23" i="27"/>
  <c r="T26" i="27" s="1"/>
  <c r="T31" i="27" s="1"/>
  <c r="T47" i="27" s="1"/>
  <c r="F47" i="27" l="1"/>
  <c r="F32" i="27"/>
  <c r="F41" i="27" s="1"/>
  <c r="D29" i="25"/>
  <c r="D31" i="27"/>
  <c r="E32" i="27"/>
  <c r="E41" i="27" s="1"/>
  <c r="E47" i="27"/>
  <c r="AK8" i="34"/>
  <c r="AJ7" i="34"/>
  <c r="AL17" i="29"/>
  <c r="AK9" i="35"/>
  <c r="AK7" i="35" s="1"/>
  <c r="AK9" i="34"/>
  <c r="AH15" i="35"/>
  <c r="AH69" i="25"/>
  <c r="AJ7" i="35"/>
  <c r="AI37" i="27"/>
  <c r="AI15" i="34" s="1"/>
  <c r="AI12" i="27"/>
  <c r="AI22" i="27" s="1"/>
  <c r="AG62" i="5"/>
  <c r="AG24" i="25"/>
  <c r="AI36" i="5"/>
  <c r="C8" i="35"/>
  <c r="AJ21" i="27"/>
  <c r="AJ22" i="25"/>
  <c r="AJ37" i="5"/>
  <c r="AJ36" i="5" s="1"/>
  <c r="AJ58" i="5" s="1"/>
  <c r="AJ62" i="5" s="1"/>
  <c r="AI12" i="25"/>
  <c r="AI35" i="25"/>
  <c r="C11" i="35"/>
  <c r="V38" i="23"/>
  <c r="W33" i="23" s="1"/>
  <c r="W35" i="23" s="1"/>
  <c r="W36" i="23" s="1"/>
  <c r="W8" i="23" s="1"/>
  <c r="AI12" i="35"/>
  <c r="AH10" i="35"/>
  <c r="AJ12" i="34"/>
  <c r="AI10" i="34"/>
  <c r="V7" i="23"/>
  <c r="V43" i="23"/>
  <c r="V44" i="23" s="1"/>
  <c r="V20" i="23" s="1"/>
  <c r="V19" i="23" s="1"/>
  <c r="U5" i="24"/>
  <c r="U4" i="24" s="1"/>
  <c r="U12" i="24" s="1"/>
  <c r="U25" i="27" s="1"/>
  <c r="U24" i="23"/>
  <c r="F33" i="27" l="1"/>
  <c r="F40" i="27" s="1"/>
  <c r="F36" i="27" s="1"/>
  <c r="D63" i="25"/>
  <c r="D31" i="25"/>
  <c r="E33" i="27"/>
  <c r="D32" i="27"/>
  <c r="D41" i="27" s="1"/>
  <c r="D47" i="27"/>
  <c r="AI23" i="25"/>
  <c r="AJ12" i="27"/>
  <c r="AJ37" i="27"/>
  <c r="AJ15" i="34" s="1"/>
  <c r="AI58" i="5"/>
  <c r="AK21" i="27"/>
  <c r="AK22" i="25"/>
  <c r="AK37" i="5"/>
  <c r="AK36" i="5" s="1"/>
  <c r="AK58" i="5" s="1"/>
  <c r="AK62" i="5" s="1"/>
  <c r="D12" i="29"/>
  <c r="AM17" i="29"/>
  <c r="AL9" i="34"/>
  <c r="C9" i="34" s="1"/>
  <c r="AL9" i="35"/>
  <c r="AG29" i="25"/>
  <c r="AG63" i="25" s="1"/>
  <c r="AI15" i="35"/>
  <c r="AI69" i="25"/>
  <c r="AJ12" i="25"/>
  <c r="AJ23" i="25" s="1"/>
  <c r="AJ24" i="25" s="1"/>
  <c r="AJ29" i="25" s="1"/>
  <c r="AJ63" i="25" s="1"/>
  <c r="AJ35" i="25"/>
  <c r="AL8" i="34"/>
  <c r="AK7" i="34"/>
  <c r="AJ12" i="35"/>
  <c r="AI10" i="35"/>
  <c r="V46" i="23"/>
  <c r="W41" i="23" s="1"/>
  <c r="W43" i="23" s="1"/>
  <c r="W44" i="23" s="1"/>
  <c r="W20" i="23" s="1"/>
  <c r="W19" i="23" s="1"/>
  <c r="AK12" i="34"/>
  <c r="AJ10" i="34"/>
  <c r="V25" i="23"/>
  <c r="V24" i="23" s="1"/>
  <c r="U23" i="27"/>
  <c r="U26" i="27" s="1"/>
  <c r="U31" i="27" s="1"/>
  <c r="U47" i="27" s="1"/>
  <c r="U29" i="32"/>
  <c r="U28" i="32" s="1"/>
  <c r="W7" i="23"/>
  <c r="W38" i="23"/>
  <c r="X33" i="23" s="1"/>
  <c r="F35" i="27" l="1"/>
  <c r="F27" i="27" s="1"/>
  <c r="F29" i="27" s="1"/>
  <c r="D33" i="27"/>
  <c r="D65" i="25"/>
  <c r="D38" i="25"/>
  <c r="D33" i="25"/>
  <c r="E40" i="27"/>
  <c r="E36" i="27" s="1"/>
  <c r="E35" i="27"/>
  <c r="V5" i="24"/>
  <c r="V4" i="24" s="1"/>
  <c r="V12" i="24" s="1"/>
  <c r="V25" i="27" s="1"/>
  <c r="V29" i="32" s="1"/>
  <c r="V28" i="32" s="1"/>
  <c r="AK35" i="25"/>
  <c r="AK12" i="25"/>
  <c r="AK23" i="25" s="1"/>
  <c r="AK24" i="25" s="1"/>
  <c r="AK29" i="25" s="1"/>
  <c r="AK63" i="25" s="1"/>
  <c r="AJ69" i="25"/>
  <c r="AJ15" i="35"/>
  <c r="AL22" i="25"/>
  <c r="C22" i="25" s="1"/>
  <c r="AL37" i="5"/>
  <c r="AL21" i="27"/>
  <c r="D17" i="29"/>
  <c r="D19" i="29" s="1"/>
  <c r="AK12" i="27"/>
  <c r="AK22" i="27" s="1"/>
  <c r="AK37" i="27"/>
  <c r="AK15" i="34" s="1"/>
  <c r="AJ22" i="27"/>
  <c r="AL7" i="34"/>
  <c r="C7" i="34" s="1"/>
  <c r="C8" i="34"/>
  <c r="C9" i="35"/>
  <c r="AL7" i="35"/>
  <c r="C7" i="35" s="1"/>
  <c r="AI62" i="5"/>
  <c r="AI24" i="25"/>
  <c r="AL12" i="34"/>
  <c r="AK10" i="34"/>
  <c r="AK12" i="35"/>
  <c r="AJ10" i="35"/>
  <c r="W46" i="23"/>
  <c r="X41" i="23" s="1"/>
  <c r="X35" i="23"/>
  <c r="X36" i="23" s="1"/>
  <c r="X8" i="23" s="1"/>
  <c r="W25" i="23"/>
  <c r="V23" i="27" l="1"/>
  <c r="V26" i="27" s="1"/>
  <c r="V31" i="27" s="1"/>
  <c r="V47" i="27" s="1"/>
  <c r="F45" i="27"/>
  <c r="F44" i="27"/>
  <c r="F28" i="27"/>
  <c r="D34" i="25"/>
  <c r="D68" i="25" s="1"/>
  <c r="D40" i="25"/>
  <c r="D72" i="25"/>
  <c r="E27" i="27"/>
  <c r="E45" i="27"/>
  <c r="E44" i="27"/>
  <c r="D42" i="25"/>
  <c r="D43" i="25"/>
  <c r="D77" i="25" s="1"/>
  <c r="D67" i="25"/>
  <c r="D35" i="27"/>
  <c r="D40" i="27"/>
  <c r="AL12" i="27"/>
  <c r="AL22" i="27" s="1"/>
  <c r="C22" i="27" s="1"/>
  <c r="AL37" i="27"/>
  <c r="AL15" i="34" s="1"/>
  <c r="C15" i="34" s="1"/>
  <c r="C21" i="27"/>
  <c r="AL36" i="5"/>
  <c r="C37" i="5"/>
  <c r="AL12" i="25"/>
  <c r="AL35" i="25"/>
  <c r="AI29" i="25"/>
  <c r="AI63" i="25" s="1"/>
  <c r="AK69" i="25"/>
  <c r="AK15" i="35"/>
  <c r="AL12" i="35"/>
  <c r="AL10" i="35" s="1"/>
  <c r="AK10" i="35"/>
  <c r="AL10" i="34"/>
  <c r="C10" i="34" s="1"/>
  <c r="C12" i="34"/>
  <c r="X38" i="23"/>
  <c r="Y33" i="23" s="1"/>
  <c r="Y35" i="23" s="1"/>
  <c r="Y36" i="23" s="1"/>
  <c r="Y8" i="23" s="1"/>
  <c r="X7" i="23"/>
  <c r="W24" i="23"/>
  <c r="W5" i="24"/>
  <c r="W4" i="24" s="1"/>
  <c r="W12" i="24" s="1"/>
  <c r="W25" i="27" s="1"/>
  <c r="X43" i="23"/>
  <c r="X44" i="23" s="1"/>
  <c r="X20" i="23" s="1"/>
  <c r="X19" i="23" s="1"/>
  <c r="C12" i="27" l="1"/>
  <c r="C12" i="35"/>
  <c r="F22" i="32"/>
  <c r="F12" i="32" s="1"/>
  <c r="E22" i="32"/>
  <c r="E12" i="32" s="1"/>
  <c r="D13" i="4" s="1"/>
  <c r="D7" i="4" s="1"/>
  <c r="D25" i="25"/>
  <c r="D26" i="25" s="1"/>
  <c r="D19" i="35" s="1"/>
  <c r="D42" i="27"/>
  <c r="D36" i="27"/>
  <c r="D27" i="27" s="1"/>
  <c r="D45" i="27"/>
  <c r="D44" i="27"/>
  <c r="D76" i="25"/>
  <c r="D20" i="31"/>
  <c r="E37" i="25"/>
  <c r="D6" i="35"/>
  <c r="D4" i="35" s="1"/>
  <c r="D74" i="25"/>
  <c r="E29" i="27"/>
  <c r="E28" i="27"/>
  <c r="AL69" i="25"/>
  <c r="AL15" i="35"/>
  <c r="C15" i="35" s="1"/>
  <c r="AL23" i="25"/>
  <c r="C12" i="25"/>
  <c r="AL58" i="5"/>
  <c r="C36" i="5"/>
  <c r="C10" i="35"/>
  <c r="X25" i="23"/>
  <c r="Y7" i="23"/>
  <c r="W29" i="32"/>
  <c r="W28" i="32" s="1"/>
  <c r="W23" i="27"/>
  <c r="W26" i="27" s="1"/>
  <c r="W31" i="27" s="1"/>
  <c r="W47" i="27" s="1"/>
  <c r="X46" i="23"/>
  <c r="Y41" i="23" s="1"/>
  <c r="Y38" i="23"/>
  <c r="Z33" i="23" s="1"/>
  <c r="D27" i="25" l="1"/>
  <c r="E11" i="32"/>
  <c r="D22" i="32"/>
  <c r="D12" i="32" s="1"/>
  <c r="D11" i="32" s="1"/>
  <c r="E30" i="25"/>
  <c r="E71" i="25"/>
  <c r="E9" i="32"/>
  <c r="E8" i="32" s="1"/>
  <c r="E4" i="32" s="1"/>
  <c r="D9" i="31"/>
  <c r="D8" i="31" s="1"/>
  <c r="D26" i="31" s="1"/>
  <c r="D18" i="35"/>
  <c r="F11" i="32"/>
  <c r="E13" i="4"/>
  <c r="E7" i="4" s="1"/>
  <c r="D29" i="27"/>
  <c r="D28" i="27"/>
  <c r="D19" i="34" s="1"/>
  <c r="E19" i="34" s="1"/>
  <c r="F19" i="34" s="1"/>
  <c r="D6" i="34"/>
  <c r="E39" i="27"/>
  <c r="E42" i="27" s="1"/>
  <c r="AL24" i="25"/>
  <c r="C23" i="25"/>
  <c r="AL62" i="5"/>
  <c r="C58" i="5"/>
  <c r="C62" i="5" s="1"/>
  <c r="Z35" i="23"/>
  <c r="Z36" i="23" s="1"/>
  <c r="Z8" i="23" s="1"/>
  <c r="X24" i="23"/>
  <c r="X5" i="24"/>
  <c r="X4" i="24" s="1"/>
  <c r="X12" i="24" s="1"/>
  <c r="X25" i="27" s="1"/>
  <c r="Y43" i="23"/>
  <c r="Y44" i="23" s="1"/>
  <c r="Y20" i="23" s="1"/>
  <c r="E31" i="32" l="1"/>
  <c r="E34" i="32" s="1"/>
  <c r="C13" i="4"/>
  <c r="C7" i="4" s="1"/>
  <c r="D18" i="34"/>
  <c r="E18" i="34" s="1"/>
  <c r="F18" i="34" s="1"/>
  <c r="E6" i="34"/>
  <c r="F39" i="27"/>
  <c r="F42" i="27" s="1"/>
  <c r="F9" i="32"/>
  <c r="F8" i="32" s="1"/>
  <c r="F4" i="32" s="1"/>
  <c r="F31" i="32" s="1"/>
  <c r="D27" i="31"/>
  <c r="D17" i="35"/>
  <c r="D16" i="35" s="1"/>
  <c r="D13" i="35" s="1"/>
  <c r="D21" i="35" s="1"/>
  <c r="E39" i="25"/>
  <c r="E73" i="25" s="1"/>
  <c r="E64" i="25"/>
  <c r="E31" i="25"/>
  <c r="AL29" i="25"/>
  <c r="AL63" i="25" s="1"/>
  <c r="C24" i="25"/>
  <c r="Y19" i="23"/>
  <c r="Y25" i="23"/>
  <c r="X29" i="32"/>
  <c r="X28" i="32" s="1"/>
  <c r="X23" i="27"/>
  <c r="X26" i="27" s="1"/>
  <c r="X31" i="27" s="1"/>
  <c r="X47" i="27" s="1"/>
  <c r="Z38" i="23"/>
  <c r="AA33" i="23" s="1"/>
  <c r="Y46" i="23"/>
  <c r="Z41" i="23" s="1"/>
  <c r="Z7" i="23"/>
  <c r="C6" i="4" l="1"/>
  <c r="D6" i="4" s="1"/>
  <c r="G39" i="27"/>
  <c r="F6" i="34"/>
  <c r="D9" i="32"/>
  <c r="D8" i="32" s="1"/>
  <c r="D4" i="32" s="1"/>
  <c r="D31" i="32" s="1"/>
  <c r="D17" i="34"/>
  <c r="E38" i="25"/>
  <c r="E33" i="25"/>
  <c r="E65" i="25"/>
  <c r="F34" i="32"/>
  <c r="Z43" i="23"/>
  <c r="Z44" i="23" s="1"/>
  <c r="Z20" i="23" s="1"/>
  <c r="Y5" i="24"/>
  <c r="Y4" i="24" s="1"/>
  <c r="Y12" i="24" s="1"/>
  <c r="Y25" i="27" s="1"/>
  <c r="Y24" i="23"/>
  <c r="AA35" i="23"/>
  <c r="AA36" i="23" s="1"/>
  <c r="AA8" i="23" s="1"/>
  <c r="C4" i="4" l="1"/>
  <c r="D4" i="4"/>
  <c r="E6" i="4"/>
  <c r="E4" i="4" s="1"/>
  <c r="D16" i="34"/>
  <c r="D13" i="34" s="1"/>
  <c r="E17" i="34"/>
  <c r="D34" i="32"/>
  <c r="D5" i="34"/>
  <c r="D32" i="32"/>
  <c r="E32" i="32" s="1"/>
  <c r="F32" i="32" s="1"/>
  <c r="E67" i="25"/>
  <c r="E42" i="25"/>
  <c r="E43" i="25"/>
  <c r="E77" i="25" s="1"/>
  <c r="E72" i="25"/>
  <c r="E34" i="25"/>
  <c r="E68" i="25" s="1"/>
  <c r="E40" i="25"/>
  <c r="G32" i="27"/>
  <c r="Z46" i="23"/>
  <c r="AA41" i="23" s="1"/>
  <c r="AA43" i="23" s="1"/>
  <c r="AA44" i="23" s="1"/>
  <c r="AA20" i="23" s="1"/>
  <c r="AA19" i="23" s="1"/>
  <c r="AA38" i="23"/>
  <c r="AB33" i="23" s="1"/>
  <c r="AB35" i="23" s="1"/>
  <c r="AB36" i="23" s="1"/>
  <c r="AB8" i="23" s="1"/>
  <c r="Z19" i="23"/>
  <c r="Z25" i="23"/>
  <c r="AA7" i="23"/>
  <c r="Y23" i="27"/>
  <c r="Y26" i="27" s="1"/>
  <c r="Y31" i="27" s="1"/>
  <c r="Y47" i="27" s="1"/>
  <c r="Y29" i="32"/>
  <c r="Y28" i="32" s="1"/>
  <c r="E25" i="25" l="1"/>
  <c r="E26" i="25" s="1"/>
  <c r="E19" i="35" s="1"/>
  <c r="E16" i="34"/>
  <c r="E13" i="34" s="1"/>
  <c r="F17" i="34"/>
  <c r="F16" i="34" s="1"/>
  <c r="F13" i="34" s="1"/>
  <c r="E74" i="25"/>
  <c r="E6" i="35"/>
  <c r="E4" i="35" s="1"/>
  <c r="F37" i="25"/>
  <c r="D4" i="34"/>
  <c r="D21" i="34" s="1"/>
  <c r="E5" i="34"/>
  <c r="G41" i="27"/>
  <c r="G33" i="27"/>
  <c r="E76" i="25"/>
  <c r="E20" i="31"/>
  <c r="AB7" i="23"/>
  <c r="AA46" i="23"/>
  <c r="AB41" i="23" s="1"/>
  <c r="AA25" i="23"/>
  <c r="AB38" i="23"/>
  <c r="AC33" i="23" s="1"/>
  <c r="Z5" i="24"/>
  <c r="Z4" i="24" s="1"/>
  <c r="Z12" i="24" s="1"/>
  <c r="Z25" i="27" s="1"/>
  <c r="Z24" i="23"/>
  <c r="E27" i="25" l="1"/>
  <c r="G40" i="27"/>
  <c r="G35" i="27"/>
  <c r="E9" i="31"/>
  <c r="E8" i="31" s="1"/>
  <c r="E26" i="31" s="1"/>
  <c r="E18" i="35"/>
  <c r="E4" i="34"/>
  <c r="E21" i="34" s="1"/>
  <c r="F5" i="34"/>
  <c r="F4" i="34" s="1"/>
  <c r="F21" i="34" s="1"/>
  <c r="F30" i="25"/>
  <c r="F71" i="25"/>
  <c r="AC35" i="23"/>
  <c r="AC36" i="23" s="1"/>
  <c r="AC8" i="23" s="1"/>
  <c r="Z29" i="32"/>
  <c r="Z28" i="32" s="1"/>
  <c r="Z23" i="27"/>
  <c r="Z26" i="27" s="1"/>
  <c r="Z31" i="27" s="1"/>
  <c r="Z47" i="27" s="1"/>
  <c r="AA5" i="24"/>
  <c r="AA4" i="24" s="1"/>
  <c r="AA12" i="24" s="1"/>
  <c r="AA25" i="27" s="1"/>
  <c r="AA24" i="23"/>
  <c r="AB43" i="23"/>
  <c r="AB44" i="23" s="1"/>
  <c r="AB20" i="23" s="1"/>
  <c r="AB46" i="23" l="1"/>
  <c r="AC41" i="23" s="1"/>
  <c r="AC43" i="23" s="1"/>
  <c r="AC44" i="23" s="1"/>
  <c r="AC20" i="23" s="1"/>
  <c r="AC19" i="23" s="1"/>
  <c r="F64" i="25"/>
  <c r="F39" i="25"/>
  <c r="F73" i="25" s="1"/>
  <c r="F31" i="25"/>
  <c r="E17" i="35"/>
  <c r="E27" i="31"/>
  <c r="G45" i="27"/>
  <c r="G44" i="27"/>
  <c r="G36" i="27"/>
  <c r="G27" i="27" s="1"/>
  <c r="G42" i="27"/>
  <c r="AC7" i="23"/>
  <c r="AB19" i="23"/>
  <c r="AB25" i="23"/>
  <c r="AA29" i="32"/>
  <c r="AA28" i="32" s="1"/>
  <c r="AA23" i="27"/>
  <c r="AA26" i="27" s="1"/>
  <c r="AA31" i="27" s="1"/>
  <c r="AA47" i="27" s="1"/>
  <c r="AC38" i="23"/>
  <c r="AD33" i="23" s="1"/>
  <c r="G22" i="32" l="1"/>
  <c r="G12" i="32" s="1"/>
  <c r="F13" i="4" s="1"/>
  <c r="F7" i="4" s="1"/>
  <c r="E16" i="35"/>
  <c r="E13" i="35" s="1"/>
  <c r="E21" i="35" s="1"/>
  <c r="F17" i="35"/>
  <c r="G17" i="35" s="1"/>
  <c r="F65" i="25"/>
  <c r="F33" i="25"/>
  <c r="F38" i="25"/>
  <c r="G6" i="34"/>
  <c r="H39" i="27"/>
  <c r="G29" i="27"/>
  <c r="G28" i="27"/>
  <c r="G19" i="34" s="1"/>
  <c r="AB24" i="23"/>
  <c r="AB5" i="24"/>
  <c r="AB4" i="24" s="1"/>
  <c r="AB12" i="24" s="1"/>
  <c r="AB25" i="27" s="1"/>
  <c r="AD35" i="23"/>
  <c r="AD36" i="23" s="1"/>
  <c r="AD8" i="23" s="1"/>
  <c r="AC46" i="23"/>
  <c r="AD41" i="23" s="1"/>
  <c r="AC25" i="23"/>
  <c r="G11" i="32" l="1"/>
  <c r="G18" i="34"/>
  <c r="H32" i="27"/>
  <c r="F6" i="4"/>
  <c r="G9" i="32"/>
  <c r="G8" i="32" s="1"/>
  <c r="G4" i="32" s="1"/>
  <c r="G17" i="34"/>
  <c r="F72" i="25"/>
  <c r="F34" i="25"/>
  <c r="F68" i="25" s="1"/>
  <c r="F40" i="25"/>
  <c r="F67" i="25"/>
  <c r="F42" i="25"/>
  <c r="F43" i="25"/>
  <c r="F77" i="25" s="1"/>
  <c r="H17" i="35"/>
  <c r="AD38" i="23"/>
  <c r="AE33" i="23" s="1"/>
  <c r="AE35" i="23" s="1"/>
  <c r="AE36" i="23" s="1"/>
  <c r="AE8" i="23" s="1"/>
  <c r="AC5" i="24"/>
  <c r="AC4" i="24" s="1"/>
  <c r="AC12" i="24" s="1"/>
  <c r="AC25" i="27" s="1"/>
  <c r="AC24" i="23"/>
  <c r="AB23" i="27"/>
  <c r="AB26" i="27" s="1"/>
  <c r="AB31" i="27" s="1"/>
  <c r="AB47" i="27" s="1"/>
  <c r="AB29" i="32"/>
  <c r="AB28" i="32" s="1"/>
  <c r="AD43" i="23"/>
  <c r="AD44" i="23" s="1"/>
  <c r="AD20" i="23" s="1"/>
  <c r="AD19" i="23" s="1"/>
  <c r="AD7" i="23"/>
  <c r="G31" i="32" l="1"/>
  <c r="G5" i="34" s="1"/>
  <c r="G4" i="34" s="1"/>
  <c r="G16" i="34"/>
  <c r="G13" i="34" s="1"/>
  <c r="F25" i="25"/>
  <c r="F26" i="25" s="1"/>
  <c r="F19" i="35" s="1"/>
  <c r="I17" i="35"/>
  <c r="F20" i="31"/>
  <c r="F76" i="25"/>
  <c r="G37" i="25"/>
  <c r="F74" i="25"/>
  <c r="F6" i="35"/>
  <c r="F4" i="4"/>
  <c r="H41" i="27"/>
  <c r="H33" i="27"/>
  <c r="AD25" i="23"/>
  <c r="AD5" i="24" s="1"/>
  <c r="AD4" i="24" s="1"/>
  <c r="AD12" i="24" s="1"/>
  <c r="AD25" i="27" s="1"/>
  <c r="AE38" i="23"/>
  <c r="AF33" i="23" s="1"/>
  <c r="AF35" i="23" s="1"/>
  <c r="AF36" i="23" s="1"/>
  <c r="AF8" i="23" s="1"/>
  <c r="AC29" i="32"/>
  <c r="AC28" i="32" s="1"/>
  <c r="AC23" i="27"/>
  <c r="AC26" i="27" s="1"/>
  <c r="AC31" i="27" s="1"/>
  <c r="AC47" i="27" s="1"/>
  <c r="AD46" i="23"/>
  <c r="AE41" i="23" s="1"/>
  <c r="AE7" i="23"/>
  <c r="G34" i="32" l="1"/>
  <c r="G32" i="32"/>
  <c r="F27" i="25"/>
  <c r="G21" i="34"/>
  <c r="H35" i="27"/>
  <c r="H40" i="27"/>
  <c r="G71" i="25"/>
  <c r="G30" i="25"/>
  <c r="F9" i="31"/>
  <c r="F8" i="31" s="1"/>
  <c r="F26" i="31" s="1"/>
  <c r="F18" i="35"/>
  <c r="F16" i="35" s="1"/>
  <c r="F13" i="35" s="1"/>
  <c r="J17" i="35"/>
  <c r="K17" i="35" s="1"/>
  <c r="AD24" i="23"/>
  <c r="AF38" i="23"/>
  <c r="AG33" i="23" s="1"/>
  <c r="AE43" i="23"/>
  <c r="AE44" i="23" s="1"/>
  <c r="AE20" i="23" s="1"/>
  <c r="AF7" i="23"/>
  <c r="AD23" i="27"/>
  <c r="AD26" i="27" s="1"/>
  <c r="AD31" i="27" s="1"/>
  <c r="AD47" i="27" s="1"/>
  <c r="AD29" i="32"/>
  <c r="AD28" i="32" s="1"/>
  <c r="L17" i="35" l="1"/>
  <c r="M17" i="35" s="1"/>
  <c r="N17" i="35" s="1"/>
  <c r="O17" i="35" s="1"/>
  <c r="P17" i="35" s="1"/>
  <c r="Q17" i="35" s="1"/>
  <c r="R17" i="35" s="1"/>
  <c r="S17" i="35" s="1"/>
  <c r="T17" i="35" s="1"/>
  <c r="U17" i="35" s="1"/>
  <c r="V17" i="35" s="1"/>
  <c r="W17" i="35" s="1"/>
  <c r="X17" i="35" s="1"/>
  <c r="Y17" i="35" s="1"/>
  <c r="Z17" i="35" s="1"/>
  <c r="AA17" i="35" s="1"/>
  <c r="AB17" i="35" s="1"/>
  <c r="AC17" i="35" s="1"/>
  <c r="AD17" i="35" s="1"/>
  <c r="AE17" i="35" s="1"/>
  <c r="AF17" i="35" s="1"/>
  <c r="AG17" i="35" s="1"/>
  <c r="AH17" i="35" s="1"/>
  <c r="AI17" i="35" s="1"/>
  <c r="AJ17" i="35" s="1"/>
  <c r="AK17" i="35" s="1"/>
  <c r="G64" i="25"/>
  <c r="G39" i="25"/>
  <c r="G73" i="25" s="1"/>
  <c r="G31" i="25"/>
  <c r="F27" i="31"/>
  <c r="F5" i="35"/>
  <c r="F4" i="35" s="1"/>
  <c r="F21" i="35" s="1"/>
  <c r="H36" i="27"/>
  <c r="H27" i="27" s="1"/>
  <c r="H42" i="27"/>
  <c r="H44" i="27"/>
  <c r="H45" i="27"/>
  <c r="AE19" i="23"/>
  <c r="AE25" i="23"/>
  <c r="AE46" i="23"/>
  <c r="AF41" i="23" s="1"/>
  <c r="AG35" i="23"/>
  <c r="AG36" i="23" s="1"/>
  <c r="AG8" i="23" s="1"/>
  <c r="H22" i="32" l="1"/>
  <c r="H12" i="32" s="1"/>
  <c r="H11" i="32" s="1"/>
  <c r="G33" i="25"/>
  <c r="G65" i="25"/>
  <c r="G38" i="25"/>
  <c r="H29" i="27"/>
  <c r="H28" i="27"/>
  <c r="H19" i="34" s="1"/>
  <c r="I39" i="27"/>
  <c r="H6" i="34"/>
  <c r="AF43" i="23"/>
  <c r="AF44" i="23" s="1"/>
  <c r="AF20" i="23" s="1"/>
  <c r="AE5" i="24"/>
  <c r="AE4" i="24" s="1"/>
  <c r="AE12" i="24" s="1"/>
  <c r="AE25" i="27" s="1"/>
  <c r="AE24" i="23"/>
  <c r="AG7" i="23"/>
  <c r="AG38" i="23"/>
  <c r="AH33" i="23" s="1"/>
  <c r="AL17" i="35"/>
  <c r="H18" i="34" l="1"/>
  <c r="G13" i="4"/>
  <c r="G7" i="4" s="1"/>
  <c r="H17" i="34" s="1"/>
  <c r="I32" i="27"/>
  <c r="G34" i="25"/>
  <c r="G68" i="25" s="1"/>
  <c r="G72" i="25"/>
  <c r="G40" i="25"/>
  <c r="G42" i="25"/>
  <c r="G43" i="25"/>
  <c r="G77" i="25" s="1"/>
  <c r="G67" i="25"/>
  <c r="AH35" i="23"/>
  <c r="AH36" i="23" s="1"/>
  <c r="AH8" i="23" s="1"/>
  <c r="AF19" i="23"/>
  <c r="AF25" i="23"/>
  <c r="AE29" i="32"/>
  <c r="AE28" i="32" s="1"/>
  <c r="AE23" i="27"/>
  <c r="AE26" i="27" s="1"/>
  <c r="AE31" i="27" s="1"/>
  <c r="AE47" i="27" s="1"/>
  <c r="AF46" i="23"/>
  <c r="AG41" i="23" s="1"/>
  <c r="C17" i="35"/>
  <c r="H16" i="34" l="1"/>
  <c r="H13" i="34" s="1"/>
  <c r="G6" i="4"/>
  <c r="G4" i="4" s="1"/>
  <c r="H9" i="32"/>
  <c r="H8" i="32" s="1"/>
  <c r="H4" i="32" s="1"/>
  <c r="H31" i="32" s="1"/>
  <c r="H5" i="34" s="1"/>
  <c r="H4" i="34" s="1"/>
  <c r="G25" i="25"/>
  <c r="G6" i="35"/>
  <c r="G74" i="25"/>
  <c r="H37" i="25"/>
  <c r="I41" i="27"/>
  <c r="I33" i="27"/>
  <c r="G76" i="25"/>
  <c r="G20" i="31"/>
  <c r="AF5" i="24"/>
  <c r="AF4" i="24" s="1"/>
  <c r="AF12" i="24" s="1"/>
  <c r="AF25" i="27" s="1"/>
  <c r="AF24" i="23"/>
  <c r="AG43" i="23"/>
  <c r="AG44" i="23" s="1"/>
  <c r="AG20" i="23" s="1"/>
  <c r="AH7" i="23"/>
  <c r="AH38" i="23"/>
  <c r="AI33" i="23" s="1"/>
  <c r="H21" i="34" l="1"/>
  <c r="H34" i="32"/>
  <c r="H32" i="32"/>
  <c r="G9" i="31"/>
  <c r="G8" i="31" s="1"/>
  <c r="G26" i="31" s="1"/>
  <c r="G18" i="35"/>
  <c r="H71" i="25"/>
  <c r="H30" i="25"/>
  <c r="I40" i="27"/>
  <c r="I35" i="27"/>
  <c r="G27" i="25"/>
  <c r="G26" i="25"/>
  <c r="G19" i="35" s="1"/>
  <c r="AG19" i="23"/>
  <c r="AG25" i="23"/>
  <c r="AI35" i="23"/>
  <c r="AI36" i="23" s="1"/>
  <c r="AI8" i="23" s="1"/>
  <c r="AG46" i="23"/>
  <c r="AH41" i="23" s="1"/>
  <c r="AF23" i="27"/>
  <c r="AF26" i="27" s="1"/>
  <c r="AF31" i="27" s="1"/>
  <c r="AF47" i="27" s="1"/>
  <c r="AF29" i="32"/>
  <c r="AF28" i="32" s="1"/>
  <c r="G16" i="35" l="1"/>
  <c r="G13" i="35" s="1"/>
  <c r="I36" i="27"/>
  <c r="I27" i="27" s="1"/>
  <c r="I42" i="27"/>
  <c r="H39" i="25"/>
  <c r="H73" i="25" s="1"/>
  <c r="H64" i="25"/>
  <c r="H31" i="25"/>
  <c r="I45" i="27"/>
  <c r="I44" i="27"/>
  <c r="G27" i="31"/>
  <c r="G5" i="35"/>
  <c r="G4" i="35" s="1"/>
  <c r="AI38" i="23"/>
  <c r="AJ33" i="23" s="1"/>
  <c r="AJ35" i="23" s="1"/>
  <c r="AJ36" i="23" s="1"/>
  <c r="AJ8" i="23" s="1"/>
  <c r="AH43" i="23"/>
  <c r="AH44" i="23" s="1"/>
  <c r="AH20" i="23" s="1"/>
  <c r="AI7" i="23"/>
  <c r="AG24" i="23"/>
  <c r="AG5" i="24"/>
  <c r="AG4" i="24" s="1"/>
  <c r="AG12" i="24" s="1"/>
  <c r="AG25" i="27" s="1"/>
  <c r="I22" i="32" l="1"/>
  <c r="I12" i="32" s="1"/>
  <c r="H13" i="4" s="1"/>
  <c r="H7" i="4" s="1"/>
  <c r="G21" i="35"/>
  <c r="J39" i="27"/>
  <c r="I6" i="34"/>
  <c r="H65" i="25"/>
  <c r="H38" i="25"/>
  <c r="H33" i="25"/>
  <c r="I29" i="27"/>
  <c r="I28" i="27"/>
  <c r="I19" i="34" s="1"/>
  <c r="AJ7" i="23"/>
  <c r="AG29" i="32"/>
  <c r="AG28" i="32" s="1"/>
  <c r="AG23" i="27"/>
  <c r="AG26" i="27" s="1"/>
  <c r="AG31" i="27" s="1"/>
  <c r="AG47" i="27" s="1"/>
  <c r="AJ38" i="23"/>
  <c r="AK33" i="23" s="1"/>
  <c r="AH46" i="23"/>
  <c r="AI41" i="23" s="1"/>
  <c r="AH19" i="23"/>
  <c r="AH25" i="23"/>
  <c r="I11" i="32" l="1"/>
  <c r="I18" i="34"/>
  <c r="H43" i="25"/>
  <c r="H77" i="25" s="1"/>
  <c r="H42" i="25"/>
  <c r="H67" i="25"/>
  <c r="J32" i="27"/>
  <c r="H72" i="25"/>
  <c r="H34" i="25"/>
  <c r="H68" i="25" s="1"/>
  <c r="H40" i="25"/>
  <c r="I9" i="32"/>
  <c r="I8" i="32" s="1"/>
  <c r="I4" i="32" s="1"/>
  <c r="I17" i="34"/>
  <c r="H6" i="4"/>
  <c r="AI43" i="23"/>
  <c r="AI44" i="23" s="1"/>
  <c r="AI20" i="23" s="1"/>
  <c r="AH5" i="24"/>
  <c r="AH4" i="24" s="1"/>
  <c r="AH12" i="24" s="1"/>
  <c r="AH25" i="27" s="1"/>
  <c r="AH24" i="23"/>
  <c r="AK35" i="23"/>
  <c r="AK36" i="23" s="1"/>
  <c r="AK8" i="23" s="1"/>
  <c r="I31" i="32" l="1"/>
  <c r="I34" i="32" s="1"/>
  <c r="I16" i="34"/>
  <c r="I13" i="34" s="1"/>
  <c r="H25" i="25"/>
  <c r="H74" i="25"/>
  <c r="I37" i="25"/>
  <c r="H6" i="35"/>
  <c r="J33" i="27"/>
  <c r="J41" i="27"/>
  <c r="H76" i="25"/>
  <c r="H20" i="31"/>
  <c r="H4" i="4"/>
  <c r="AH29" i="32"/>
  <c r="AH28" i="32" s="1"/>
  <c r="AH23" i="27"/>
  <c r="AH26" i="27" s="1"/>
  <c r="AH31" i="27" s="1"/>
  <c r="AH47" i="27" s="1"/>
  <c r="AK38" i="23"/>
  <c r="AL33" i="23" s="1"/>
  <c r="AI46" i="23"/>
  <c r="AJ41" i="23" s="1"/>
  <c r="AK7" i="23"/>
  <c r="AI19" i="23"/>
  <c r="AI25" i="23"/>
  <c r="I5" i="34" l="1"/>
  <c r="I4" i="34" s="1"/>
  <c r="I21" i="34" s="1"/>
  <c r="I32" i="32"/>
  <c r="J35" i="27"/>
  <c r="J40" i="27"/>
  <c r="H9" i="31"/>
  <c r="H8" i="31" s="1"/>
  <c r="H26" i="31" s="1"/>
  <c r="H18" i="35"/>
  <c r="I71" i="25"/>
  <c r="I30" i="25"/>
  <c r="H27" i="25"/>
  <c r="H26" i="25"/>
  <c r="H19" i="35" s="1"/>
  <c r="AL35" i="23"/>
  <c r="AI24" i="23"/>
  <c r="AI5" i="24"/>
  <c r="AI4" i="24" s="1"/>
  <c r="AI12" i="24" s="1"/>
  <c r="AI25" i="27" s="1"/>
  <c r="AJ43" i="23"/>
  <c r="AJ44" i="23" s="1"/>
  <c r="AJ20" i="23" s="1"/>
  <c r="H16" i="35" l="1"/>
  <c r="H13" i="35" s="1"/>
  <c r="I64" i="25"/>
  <c r="I39" i="25"/>
  <c r="I73" i="25" s="1"/>
  <c r="I31" i="25"/>
  <c r="H5" i="35"/>
  <c r="H4" i="35" s="1"/>
  <c r="H27" i="31"/>
  <c r="J36" i="27"/>
  <c r="J27" i="27" s="1"/>
  <c r="J42" i="27"/>
  <c r="J44" i="27"/>
  <c r="J45" i="27"/>
  <c r="AJ46" i="23"/>
  <c r="AK41" i="23" s="1"/>
  <c r="AK43" i="23" s="1"/>
  <c r="AK44" i="23" s="1"/>
  <c r="AK20" i="23" s="1"/>
  <c r="AI29" i="32"/>
  <c r="AI28" i="32" s="1"/>
  <c r="AI23" i="27"/>
  <c r="AI26" i="27" s="1"/>
  <c r="AI31" i="27" s="1"/>
  <c r="AI47" i="27" s="1"/>
  <c r="AL36" i="23"/>
  <c r="AL38" i="23" s="1"/>
  <c r="C35" i="23"/>
  <c r="AJ19" i="23"/>
  <c r="AJ25" i="23"/>
  <c r="H21" i="35" l="1"/>
  <c r="J22" i="32"/>
  <c r="J12" i="32" s="1"/>
  <c r="J11" i="32" s="1"/>
  <c r="J6" i="34"/>
  <c r="K39" i="27"/>
  <c r="I33" i="25"/>
  <c r="I38" i="25"/>
  <c r="I65" i="25"/>
  <c r="J28" i="27"/>
  <c r="J19" i="34" s="1"/>
  <c r="J29" i="27"/>
  <c r="AL8" i="23"/>
  <c r="C36" i="23"/>
  <c r="AK19" i="23"/>
  <c r="AK25" i="23"/>
  <c r="AJ5" i="24"/>
  <c r="AJ4" i="24" s="1"/>
  <c r="AJ12" i="24" s="1"/>
  <c r="AJ25" i="27" s="1"/>
  <c r="AJ24" i="23"/>
  <c r="AK46" i="23"/>
  <c r="AL41" i="23" s="1"/>
  <c r="J18" i="34" l="1"/>
  <c r="I13" i="4"/>
  <c r="I7" i="4" s="1"/>
  <c r="J9" i="32" s="1"/>
  <c r="J8" i="32" s="1"/>
  <c r="J4" i="32" s="1"/>
  <c r="J31" i="32" s="1"/>
  <c r="K32" i="27"/>
  <c r="I72" i="25"/>
  <c r="I34" i="25"/>
  <c r="I68" i="25" s="1"/>
  <c r="I40" i="25"/>
  <c r="I42" i="25"/>
  <c r="I67" i="25"/>
  <c r="I43" i="25"/>
  <c r="I77" i="25" s="1"/>
  <c r="AL43" i="23"/>
  <c r="AJ29" i="32"/>
  <c r="AJ28" i="32" s="1"/>
  <c r="AJ23" i="27"/>
  <c r="AJ26" i="27" s="1"/>
  <c r="AJ31" i="27" s="1"/>
  <c r="AJ47" i="27" s="1"/>
  <c r="AL7" i="23"/>
  <c r="C7" i="23" s="1"/>
  <c r="C8" i="23"/>
  <c r="AK5" i="24"/>
  <c r="AK4" i="24" s="1"/>
  <c r="AK12" i="24" s="1"/>
  <c r="AK25" i="27" s="1"/>
  <c r="AK24" i="23"/>
  <c r="I25" i="25" l="1"/>
  <c r="I26" i="25" s="1"/>
  <c r="I19" i="35" s="1"/>
  <c r="I6" i="4"/>
  <c r="I4" i="4" s="1"/>
  <c r="J17" i="34"/>
  <c r="J16" i="34" s="1"/>
  <c r="J13" i="34" s="1"/>
  <c r="J34" i="32"/>
  <c r="J32" i="32"/>
  <c r="J5" i="34"/>
  <c r="J4" i="34" s="1"/>
  <c r="I76" i="25"/>
  <c r="I20" i="31"/>
  <c r="I74" i="25"/>
  <c r="J37" i="25"/>
  <c r="I6" i="35"/>
  <c r="K41" i="27"/>
  <c r="K33" i="27"/>
  <c r="AL44" i="23"/>
  <c r="C43" i="23"/>
  <c r="AK29" i="32"/>
  <c r="AK28" i="32" s="1"/>
  <c r="AK23" i="27"/>
  <c r="AK26" i="27" s="1"/>
  <c r="AK31" i="27" s="1"/>
  <c r="AK47" i="27" s="1"/>
  <c r="I27" i="25" l="1"/>
  <c r="J21" i="34"/>
  <c r="J30" i="25"/>
  <c r="J71" i="25"/>
  <c r="K35" i="27"/>
  <c r="K40" i="27"/>
  <c r="I9" i="31"/>
  <c r="I8" i="31" s="1"/>
  <c r="I26" i="31" s="1"/>
  <c r="I18" i="35"/>
  <c r="I16" i="35" s="1"/>
  <c r="I13" i="35" s="1"/>
  <c r="AL20" i="23"/>
  <c r="C44" i="23"/>
  <c r="AL46" i="23"/>
  <c r="K36" i="27" l="1"/>
  <c r="K27" i="27" s="1"/>
  <c r="K42" i="27"/>
  <c r="K45" i="27"/>
  <c r="K44" i="27"/>
  <c r="I5" i="35"/>
  <c r="I4" i="35" s="1"/>
  <c r="I21" i="35" s="1"/>
  <c r="I27" i="31"/>
  <c r="J64" i="25"/>
  <c r="J39" i="25"/>
  <c r="J73" i="25" s="1"/>
  <c r="J31" i="25"/>
  <c r="AL19" i="23"/>
  <c r="C19" i="23" s="1"/>
  <c r="C20" i="23"/>
  <c r="AL25" i="23"/>
  <c r="K22" i="32" l="1"/>
  <c r="K12" i="32" s="1"/>
  <c r="J13" i="4" s="1"/>
  <c r="J7" i="4" s="1"/>
  <c r="J65" i="25"/>
  <c r="J33" i="25"/>
  <c r="J38" i="25"/>
  <c r="K6" i="34"/>
  <c r="L39" i="27"/>
  <c r="K28" i="27"/>
  <c r="K19" i="34" s="1"/>
  <c r="K29" i="27"/>
  <c r="AL24" i="23"/>
  <c r="C24" i="23" s="1"/>
  <c r="AL5" i="24"/>
  <c r="C25" i="23"/>
  <c r="K11" i="32" l="1"/>
  <c r="K18" i="34"/>
  <c r="J43" i="25"/>
  <c r="J77" i="25" s="1"/>
  <c r="J67" i="25"/>
  <c r="J42" i="25"/>
  <c r="J72" i="25"/>
  <c r="J34" i="25"/>
  <c r="J68" i="25" s="1"/>
  <c r="J40" i="25"/>
  <c r="L32" i="27"/>
  <c r="K9" i="32"/>
  <c r="K8" i="32" s="1"/>
  <c r="K4" i="32" s="1"/>
  <c r="K17" i="34"/>
  <c r="J6" i="4"/>
  <c r="AL4" i="24"/>
  <c r="C5" i="24"/>
  <c r="K31" i="32" l="1"/>
  <c r="K34" i="32" s="1"/>
  <c r="K16" i="34"/>
  <c r="K13" i="34" s="1"/>
  <c r="J25" i="25"/>
  <c r="J27" i="25" s="1"/>
  <c r="J4" i="4"/>
  <c r="J6" i="35"/>
  <c r="J74" i="25"/>
  <c r="K37" i="25"/>
  <c r="J20" i="31"/>
  <c r="J76" i="25"/>
  <c r="L33" i="27"/>
  <c r="L41" i="27"/>
  <c r="AL12" i="24"/>
  <c r="C4" i="24"/>
  <c r="K32" i="32" l="1"/>
  <c r="K5" i="34"/>
  <c r="K4" i="34" s="1"/>
  <c r="K21" i="34" s="1"/>
  <c r="J26" i="25"/>
  <c r="J19" i="35" s="1"/>
  <c r="J9" i="31"/>
  <c r="J8" i="31" s="1"/>
  <c r="J26" i="31" s="1"/>
  <c r="J18" i="35"/>
  <c r="L35" i="27"/>
  <c r="L40" i="27"/>
  <c r="K30" i="25"/>
  <c r="K71" i="25"/>
  <c r="AL25" i="27"/>
  <c r="C12" i="24"/>
  <c r="J16" i="35" l="1"/>
  <c r="J13" i="35" s="1"/>
  <c r="K31" i="25"/>
  <c r="K64" i="25"/>
  <c r="K39" i="25"/>
  <c r="K73" i="25" s="1"/>
  <c r="L36" i="27"/>
  <c r="L27" i="27" s="1"/>
  <c r="L42" i="27"/>
  <c r="L45" i="27"/>
  <c r="L44" i="27"/>
  <c r="J27" i="31"/>
  <c r="J5" i="35"/>
  <c r="J4" i="35" s="1"/>
  <c r="AL23" i="27"/>
  <c r="AL29" i="32"/>
  <c r="C25" i="27"/>
  <c r="J21" i="35" l="1"/>
  <c r="L22" i="32"/>
  <c r="L12" i="32" s="1"/>
  <c r="K13" i="4" s="1"/>
  <c r="K7" i="4" s="1"/>
  <c r="L29" i="27"/>
  <c r="L28" i="27"/>
  <c r="L19" i="34" s="1"/>
  <c r="L6" i="34"/>
  <c r="M39" i="27"/>
  <c r="K33" i="25"/>
  <c r="K38" i="25"/>
  <c r="K65" i="25"/>
  <c r="AL28" i="32"/>
  <c r="C28" i="32" s="1"/>
  <c r="C29" i="32"/>
  <c r="C23" i="27"/>
  <c r="AL26" i="27"/>
  <c r="L18" i="34" l="1"/>
  <c r="L11" i="32"/>
  <c r="K43" i="25"/>
  <c r="K77" i="25" s="1"/>
  <c r="K42" i="25"/>
  <c r="K67" i="25"/>
  <c r="L9" i="32"/>
  <c r="L8" i="32" s="1"/>
  <c r="L4" i="32" s="1"/>
  <c r="L17" i="34"/>
  <c r="K6" i="4"/>
  <c r="M32" i="27"/>
  <c r="K72" i="25"/>
  <c r="K34" i="25"/>
  <c r="K68" i="25" s="1"/>
  <c r="K40" i="25"/>
  <c r="AL31" i="27"/>
  <c r="AL47" i="27" s="1"/>
  <c r="C26" i="27"/>
  <c r="L31" i="32" l="1"/>
  <c r="L5" i="34" s="1"/>
  <c r="L4" i="34" s="1"/>
  <c r="L16" i="34"/>
  <c r="L13" i="34" s="1"/>
  <c r="K4" i="4"/>
  <c r="K25" i="25"/>
  <c r="K20" i="31"/>
  <c r="K76" i="25"/>
  <c r="K74" i="25"/>
  <c r="L37" i="25"/>
  <c r="K6" i="35"/>
  <c r="M41" i="27"/>
  <c r="M33" i="27"/>
  <c r="L34" i="32" l="1"/>
  <c r="L32" i="32"/>
  <c r="L21" i="34"/>
  <c r="K9" i="31"/>
  <c r="K8" i="31" s="1"/>
  <c r="K26" i="31" s="1"/>
  <c r="K18" i="35"/>
  <c r="K26" i="25"/>
  <c r="K19" i="35" s="1"/>
  <c r="K27" i="25"/>
  <c r="L30" i="25"/>
  <c r="L71" i="25"/>
  <c r="M40" i="27"/>
  <c r="M35" i="27"/>
  <c r="K16" i="35" l="1"/>
  <c r="K13" i="35" s="1"/>
  <c r="K5" i="35"/>
  <c r="K4" i="35" s="1"/>
  <c r="K27" i="31"/>
  <c r="M36" i="27"/>
  <c r="M27" i="27" s="1"/>
  <c r="M42" i="27"/>
  <c r="M45" i="27"/>
  <c r="M44" i="27"/>
  <c r="L64" i="25"/>
  <c r="L31" i="25"/>
  <c r="L39" i="25"/>
  <c r="L73" i="25" s="1"/>
  <c r="K21" i="35" l="1"/>
  <c r="M22" i="32"/>
  <c r="M12" i="32" s="1"/>
  <c r="L13" i="4" s="1"/>
  <c r="L7" i="4" s="1"/>
  <c r="M6" i="34"/>
  <c r="N39" i="27"/>
  <c r="L38" i="25"/>
  <c r="L65" i="25"/>
  <c r="L33" i="25"/>
  <c r="M28" i="27"/>
  <c r="M19" i="34" s="1"/>
  <c r="M29" i="27"/>
  <c r="M18" i="34" l="1"/>
  <c r="M11" i="32"/>
  <c r="L34" i="25"/>
  <c r="L68" i="25" s="1"/>
  <c r="L72" i="25"/>
  <c r="L40" i="25"/>
  <c r="N32" i="27"/>
  <c r="L67" i="25"/>
  <c r="L43" i="25"/>
  <c r="L77" i="25" s="1"/>
  <c r="L42" i="25"/>
  <c r="M9" i="32"/>
  <c r="M8" i="32" s="1"/>
  <c r="M4" i="32" s="1"/>
  <c r="M17" i="34"/>
  <c r="L6" i="4"/>
  <c r="M31" i="32" l="1"/>
  <c r="M34" i="32" s="1"/>
  <c r="M16" i="34"/>
  <c r="M13" i="34" s="1"/>
  <c r="L76" i="25"/>
  <c r="L20" i="31"/>
  <c r="N33" i="27"/>
  <c r="N41" i="27"/>
  <c r="L4" i="4"/>
  <c r="L25" i="25"/>
  <c r="L6" i="35"/>
  <c r="M37" i="25"/>
  <c r="L74" i="25"/>
  <c r="M5" i="34" l="1"/>
  <c r="M4" i="34" s="1"/>
  <c r="M21" i="34" s="1"/>
  <c r="M32" i="32"/>
  <c r="M30" i="25"/>
  <c r="M71" i="25"/>
  <c r="L27" i="25"/>
  <c r="L26" i="25"/>
  <c r="L19" i="35" s="1"/>
  <c r="N35" i="27"/>
  <c r="N40" i="27"/>
  <c r="L9" i="31"/>
  <c r="L8" i="31" s="1"/>
  <c r="L26" i="31" s="1"/>
  <c r="L18" i="35"/>
  <c r="L16" i="35" l="1"/>
  <c r="L13" i="35" s="1"/>
  <c r="L27" i="31"/>
  <c r="L5" i="35"/>
  <c r="L4" i="35" s="1"/>
  <c r="N36" i="27"/>
  <c r="N27" i="27" s="1"/>
  <c r="N42" i="27"/>
  <c r="N44" i="27"/>
  <c r="N45" i="27"/>
  <c r="M39" i="25"/>
  <c r="M73" i="25" s="1"/>
  <c r="M31" i="25"/>
  <c r="M64" i="25"/>
  <c r="N22" i="32" l="1"/>
  <c r="N12" i="32" s="1"/>
  <c r="M13" i="4" s="1"/>
  <c r="M7" i="4" s="1"/>
  <c r="N29" i="27"/>
  <c r="N28" i="27"/>
  <c r="N19" i="34" s="1"/>
  <c r="O39" i="27"/>
  <c r="N6" i="34"/>
  <c r="L21" i="35"/>
  <c r="M38" i="25"/>
  <c r="M33" i="25"/>
  <c r="M65" i="25"/>
  <c r="N18" i="34" l="1"/>
  <c r="N11" i="32"/>
  <c r="M42" i="25"/>
  <c r="M67" i="25"/>
  <c r="M43" i="25"/>
  <c r="M77" i="25" s="1"/>
  <c r="O32" i="27"/>
  <c r="M72" i="25"/>
  <c r="M34" i="25"/>
  <c r="M68" i="25" s="1"/>
  <c r="M40" i="25"/>
  <c r="N17" i="34"/>
  <c r="N9" i="32"/>
  <c r="N8" i="32" s="1"/>
  <c r="N4" i="32" s="1"/>
  <c r="M6" i="4"/>
  <c r="N16" i="34" l="1"/>
  <c r="N13" i="34" s="1"/>
  <c r="N31" i="32"/>
  <c r="N34" i="32" s="1"/>
  <c r="M25" i="25"/>
  <c r="M74" i="25"/>
  <c r="M6" i="35"/>
  <c r="N37" i="25"/>
  <c r="O41" i="27"/>
  <c r="O33" i="27"/>
  <c r="M4" i="4"/>
  <c r="M20" i="31"/>
  <c r="M76" i="25"/>
  <c r="N5" i="34" l="1"/>
  <c r="N4" i="34" s="1"/>
  <c r="N21" i="34" s="1"/>
  <c r="N32" i="32"/>
  <c r="O40" i="27"/>
  <c r="O35" i="27"/>
  <c r="M9" i="31"/>
  <c r="M8" i="31" s="1"/>
  <c r="M26" i="31" s="1"/>
  <c r="M18" i="35"/>
  <c r="M26" i="25"/>
  <c r="M19" i="35" s="1"/>
  <c r="M27" i="25"/>
  <c r="N71" i="25"/>
  <c r="N30" i="25"/>
  <c r="N31" i="25" l="1"/>
  <c r="N39" i="25"/>
  <c r="N73" i="25" s="1"/>
  <c r="N64" i="25"/>
  <c r="M16" i="35"/>
  <c r="M13" i="35" s="1"/>
  <c r="M27" i="31"/>
  <c r="M5" i="35"/>
  <c r="M4" i="35" s="1"/>
  <c r="O44" i="27"/>
  <c r="O45" i="27"/>
  <c r="O36" i="27"/>
  <c r="O27" i="27" s="1"/>
  <c r="O42" i="27"/>
  <c r="O22" i="32" l="1"/>
  <c r="O12" i="32" s="1"/>
  <c r="N13" i="4" s="1"/>
  <c r="N7" i="4" s="1"/>
  <c r="M21" i="35"/>
  <c r="O29" i="27"/>
  <c r="O28" i="27"/>
  <c r="O19" i="34" s="1"/>
  <c r="P39" i="27"/>
  <c r="O6" i="34"/>
  <c r="N38" i="25"/>
  <c r="N33" i="25"/>
  <c r="N65" i="25"/>
  <c r="O11" i="32" l="1"/>
  <c r="O18" i="34"/>
  <c r="N34" i="25"/>
  <c r="N68" i="25" s="1"/>
  <c r="N72" i="25"/>
  <c r="N40" i="25"/>
  <c r="P32" i="27"/>
  <c r="N43" i="25"/>
  <c r="N77" i="25" s="1"/>
  <c r="N42" i="25"/>
  <c r="N67" i="25"/>
  <c r="O9" i="32"/>
  <c r="O8" i="32" s="1"/>
  <c r="O4" i="32" s="1"/>
  <c r="O17" i="34"/>
  <c r="N6" i="4"/>
  <c r="O31" i="32" l="1"/>
  <c r="O32" i="32" s="1"/>
  <c r="O16" i="34"/>
  <c r="O13" i="34" s="1"/>
  <c r="N25" i="25"/>
  <c r="N26" i="25" s="1"/>
  <c r="N19" i="35" s="1"/>
  <c r="P33" i="27"/>
  <c r="P41" i="27"/>
  <c r="N20" i="31"/>
  <c r="N76" i="25"/>
  <c r="O37" i="25"/>
  <c r="N74" i="25"/>
  <c r="N6" i="35"/>
  <c r="N4" i="4"/>
  <c r="O5" i="34" l="1"/>
  <c r="O4" i="34" s="1"/>
  <c r="O21" i="34" s="1"/>
  <c r="O34" i="32"/>
  <c r="N27" i="25"/>
  <c r="O71" i="25"/>
  <c r="O30" i="25"/>
  <c r="N9" i="31"/>
  <c r="N8" i="31" s="1"/>
  <c r="N26" i="31" s="1"/>
  <c r="N18" i="35"/>
  <c r="N16" i="35" s="1"/>
  <c r="N13" i="35" s="1"/>
  <c r="P40" i="27"/>
  <c r="P35" i="27"/>
  <c r="N27" i="31" l="1"/>
  <c r="N5" i="35"/>
  <c r="N4" i="35" s="1"/>
  <c r="N21" i="35" s="1"/>
  <c r="P36" i="27"/>
  <c r="P27" i="27" s="1"/>
  <c r="P42" i="27"/>
  <c r="P44" i="27"/>
  <c r="P45" i="27"/>
  <c r="O31" i="25"/>
  <c r="O64" i="25"/>
  <c r="O39" i="25"/>
  <c r="O73" i="25" s="1"/>
  <c r="P22" i="32" l="1"/>
  <c r="O38" i="25"/>
  <c r="O65" i="25"/>
  <c r="O33" i="25"/>
  <c r="P6" i="34"/>
  <c r="Q39" i="27"/>
  <c r="P29" i="27"/>
  <c r="P28" i="27"/>
  <c r="P19" i="34" s="1"/>
  <c r="O42" i="25" l="1"/>
  <c r="O43" i="25"/>
  <c r="O77" i="25" s="1"/>
  <c r="O67" i="25"/>
  <c r="Q32" i="27"/>
  <c r="O72" i="25"/>
  <c r="O34" i="25"/>
  <c r="O68" i="25" s="1"/>
  <c r="O40" i="25"/>
  <c r="P12" i="32"/>
  <c r="P18" i="34"/>
  <c r="Q41" i="27" l="1"/>
  <c r="Q33" i="27"/>
  <c r="O25" i="25"/>
  <c r="P37" i="25"/>
  <c r="O6" i="35"/>
  <c r="O74" i="25"/>
  <c r="O76" i="25"/>
  <c r="O20" i="31"/>
  <c r="P11" i="32"/>
  <c r="O13" i="4"/>
  <c r="O7" i="4" s="1"/>
  <c r="O9" i="31" l="1"/>
  <c r="O8" i="31" s="1"/>
  <c r="O26" i="31" s="1"/>
  <c r="O18" i="35"/>
  <c r="P30" i="25"/>
  <c r="P71" i="25"/>
  <c r="O27" i="25"/>
  <c r="O26" i="25"/>
  <c r="O19" i="35" s="1"/>
  <c r="P17" i="34"/>
  <c r="P16" i="34" s="1"/>
  <c r="P13" i="34" s="1"/>
  <c r="P9" i="32"/>
  <c r="P8" i="32" s="1"/>
  <c r="P4" i="32" s="1"/>
  <c r="P31" i="32" s="1"/>
  <c r="O6" i="4"/>
  <c r="Q35" i="27"/>
  <c r="Q40" i="27"/>
  <c r="O16" i="35" l="1"/>
  <c r="O13" i="35" s="1"/>
  <c r="P32" i="32"/>
  <c r="P34" i="32"/>
  <c r="P5" i="34"/>
  <c r="P4" i="34" s="1"/>
  <c r="P21" i="34" s="1"/>
  <c r="Q36" i="27"/>
  <c r="Q27" i="27" s="1"/>
  <c r="Q42" i="27"/>
  <c r="Q44" i="27"/>
  <c r="Q45" i="27"/>
  <c r="P39" i="25"/>
  <c r="P73" i="25" s="1"/>
  <c r="P64" i="25"/>
  <c r="P31" i="25"/>
  <c r="O4" i="4"/>
  <c r="O5" i="35"/>
  <c r="O4" i="35" s="1"/>
  <c r="O27" i="31"/>
  <c r="O21" i="35" l="1"/>
  <c r="Q22" i="32"/>
  <c r="Q12" i="32" s="1"/>
  <c r="P13" i="4" s="1"/>
  <c r="P7" i="4" s="1"/>
  <c r="Q6" i="34"/>
  <c r="R39" i="27"/>
  <c r="Q29" i="27"/>
  <c r="Q28" i="27"/>
  <c r="Q19" i="34" s="1"/>
  <c r="P38" i="25"/>
  <c r="P33" i="25"/>
  <c r="P65" i="25"/>
  <c r="Q11" i="32" l="1"/>
  <c r="Q18" i="34"/>
  <c r="Q17" i="34"/>
  <c r="Q9" i="32"/>
  <c r="Q8" i="32" s="1"/>
  <c r="Q4" i="32" s="1"/>
  <c r="P6" i="4"/>
  <c r="P67" i="25"/>
  <c r="P42" i="25"/>
  <c r="P43" i="25"/>
  <c r="P77" i="25" s="1"/>
  <c r="P72" i="25"/>
  <c r="P34" i="25"/>
  <c r="P68" i="25" s="1"/>
  <c r="P40" i="25"/>
  <c r="R32" i="27"/>
  <c r="Q31" i="32" l="1"/>
  <c r="Q32" i="32" s="1"/>
  <c r="Q16" i="34"/>
  <c r="Q13" i="34" s="1"/>
  <c r="P76" i="25"/>
  <c r="P20" i="31"/>
  <c r="R33" i="27"/>
  <c r="R41" i="27"/>
  <c r="P6" i="35"/>
  <c r="P74" i="25"/>
  <c r="Q37" i="25"/>
  <c r="P25" i="25"/>
  <c r="P4" i="4"/>
  <c r="Q5" i="34" l="1"/>
  <c r="Q4" i="34" s="1"/>
  <c r="Q21" i="34" s="1"/>
  <c r="Q34" i="32"/>
  <c r="P27" i="25"/>
  <c r="P26" i="25"/>
  <c r="P19" i="35" s="1"/>
  <c r="Q30" i="25"/>
  <c r="Q71" i="25"/>
  <c r="R40" i="27"/>
  <c r="R35" i="27"/>
  <c r="P9" i="31"/>
  <c r="P8" i="31" s="1"/>
  <c r="P26" i="31" s="1"/>
  <c r="P18" i="35"/>
  <c r="P16" i="35" l="1"/>
  <c r="P13" i="35" s="1"/>
  <c r="P27" i="31"/>
  <c r="P5" i="35"/>
  <c r="P4" i="35" s="1"/>
  <c r="R44" i="27"/>
  <c r="R45" i="27"/>
  <c r="Q64" i="25"/>
  <c r="Q39" i="25"/>
  <c r="Q73" i="25" s="1"/>
  <c r="Q31" i="25"/>
  <c r="R36" i="27"/>
  <c r="R27" i="27" s="1"/>
  <c r="R42" i="27"/>
  <c r="P21" i="35" l="1"/>
  <c r="R22" i="32"/>
  <c r="R6" i="34"/>
  <c r="S39" i="27"/>
  <c r="R29" i="27"/>
  <c r="R28" i="27"/>
  <c r="R19" i="34" s="1"/>
  <c r="Q33" i="25"/>
  <c r="Q38" i="25"/>
  <c r="Q65" i="25"/>
  <c r="R12" i="32" l="1"/>
  <c r="R18" i="34"/>
  <c r="Q72" i="25"/>
  <c r="Q34" i="25"/>
  <c r="Q68" i="25" s="1"/>
  <c r="Q40" i="25"/>
  <c r="S32" i="27"/>
  <c r="Q42" i="25"/>
  <c r="Q43" i="25"/>
  <c r="Q77" i="25" s="1"/>
  <c r="Q67" i="25"/>
  <c r="Q25" i="25" l="1"/>
  <c r="Q26" i="25" s="1"/>
  <c r="Q19" i="35" s="1"/>
  <c r="R11" i="32"/>
  <c r="Q13" i="4"/>
  <c r="Q7" i="4" s="1"/>
  <c r="S33" i="27"/>
  <c r="S41" i="27"/>
  <c r="Q74" i="25"/>
  <c r="Q6" i="35"/>
  <c r="R37" i="25"/>
  <c r="Q76" i="25"/>
  <c r="Q20" i="31"/>
  <c r="Q27" i="25" l="1"/>
  <c r="Q6" i="4"/>
  <c r="Q4" i="4" s="1"/>
  <c r="R17" i="34"/>
  <c r="R16" i="34" s="1"/>
  <c r="R13" i="34" s="1"/>
  <c r="R9" i="32"/>
  <c r="R8" i="32" s="1"/>
  <c r="R4" i="32" s="1"/>
  <c r="R31" i="32" s="1"/>
  <c r="R30" i="25"/>
  <c r="R71" i="25"/>
  <c r="Q9" i="31"/>
  <c r="Q8" i="31" s="1"/>
  <c r="Q26" i="31" s="1"/>
  <c r="Q18" i="35"/>
  <c r="Q16" i="35" s="1"/>
  <c r="Q13" i="35" s="1"/>
  <c r="S35" i="27"/>
  <c r="S40" i="27"/>
  <c r="R5" i="34" l="1"/>
  <c r="R4" i="34" s="1"/>
  <c r="R21" i="34" s="1"/>
  <c r="R32" i="32"/>
  <c r="R34" i="32"/>
  <c r="Q5" i="35"/>
  <c r="Q4" i="35" s="1"/>
  <c r="Q21" i="35" s="1"/>
  <c r="Q27" i="31"/>
  <c r="S36" i="27"/>
  <c r="S27" i="27" s="1"/>
  <c r="S42" i="27"/>
  <c r="S44" i="27"/>
  <c r="S45" i="27"/>
  <c r="R39" i="25"/>
  <c r="R73" i="25" s="1"/>
  <c r="R64" i="25"/>
  <c r="R31" i="25"/>
  <c r="S22" i="32" l="1"/>
  <c r="S12" i="32" s="1"/>
  <c r="S11" i="32" s="1"/>
  <c r="T39" i="27"/>
  <c r="S6" i="34"/>
  <c r="S29" i="27"/>
  <c r="S28" i="27"/>
  <c r="S19" i="34" s="1"/>
  <c r="R38" i="25"/>
  <c r="R33" i="25"/>
  <c r="R65" i="25"/>
  <c r="S18" i="34" l="1"/>
  <c r="R13" i="4"/>
  <c r="R7" i="4" s="1"/>
  <c r="S9" i="32" s="1"/>
  <c r="S8" i="32" s="1"/>
  <c r="S4" i="32" s="1"/>
  <c r="S31" i="32" s="1"/>
  <c r="R43" i="25"/>
  <c r="R77" i="25" s="1"/>
  <c r="R42" i="25"/>
  <c r="R67" i="25"/>
  <c r="R34" i="25"/>
  <c r="R68" i="25" s="1"/>
  <c r="R72" i="25"/>
  <c r="R40" i="25"/>
  <c r="T32" i="27"/>
  <c r="S17" i="34" l="1"/>
  <c r="S16" i="34" s="1"/>
  <c r="S13" i="34" s="1"/>
  <c r="R6" i="4"/>
  <c r="R4" i="4" s="1"/>
  <c r="S5" i="34"/>
  <c r="S4" i="34" s="1"/>
  <c r="S32" i="32"/>
  <c r="S34" i="32"/>
  <c r="R6" i="35"/>
  <c r="R74" i="25"/>
  <c r="S37" i="25"/>
  <c r="R25" i="25"/>
  <c r="T33" i="27"/>
  <c r="T41" i="27"/>
  <c r="R20" i="31"/>
  <c r="R76" i="25"/>
  <c r="S21" i="34" l="1"/>
  <c r="R26" i="25"/>
  <c r="R19" i="35" s="1"/>
  <c r="R27" i="25"/>
  <c r="R9" i="31"/>
  <c r="R8" i="31" s="1"/>
  <c r="R26" i="31" s="1"/>
  <c r="R18" i="35"/>
  <c r="S71" i="25"/>
  <c r="S30" i="25"/>
  <c r="T40" i="27"/>
  <c r="T35" i="27"/>
  <c r="T45" i="27" l="1"/>
  <c r="T44" i="27"/>
  <c r="T36" i="27"/>
  <c r="T27" i="27" s="1"/>
  <c r="T42" i="27"/>
  <c r="R16" i="35"/>
  <c r="R13" i="35" s="1"/>
  <c r="R5" i="35"/>
  <c r="R4" i="35" s="1"/>
  <c r="R27" i="31"/>
  <c r="S39" i="25"/>
  <c r="S73" i="25" s="1"/>
  <c r="S64" i="25"/>
  <c r="S31" i="25"/>
  <c r="T22" i="32" l="1"/>
  <c r="T12" i="32" s="1"/>
  <c r="S13" i="4" s="1"/>
  <c r="S7" i="4" s="1"/>
  <c r="U39" i="27"/>
  <c r="T6" i="34"/>
  <c r="T29" i="27"/>
  <c r="T28" i="27"/>
  <c r="T19" i="34" s="1"/>
  <c r="S33" i="25"/>
  <c r="S65" i="25"/>
  <c r="S38" i="25"/>
  <c r="R21" i="35"/>
  <c r="T11" i="32" l="1"/>
  <c r="T18" i="34"/>
  <c r="S72" i="25"/>
  <c r="S34" i="25"/>
  <c r="S68" i="25" s="1"/>
  <c r="S40" i="25"/>
  <c r="T17" i="34"/>
  <c r="T9" i="32"/>
  <c r="T8" i="32" s="1"/>
  <c r="T4" i="32" s="1"/>
  <c r="S6" i="4"/>
  <c r="S42" i="25"/>
  <c r="S67" i="25"/>
  <c r="S43" i="25"/>
  <c r="S77" i="25" s="1"/>
  <c r="U32" i="27"/>
  <c r="T16" i="34" l="1"/>
  <c r="T13" i="34" s="1"/>
  <c r="T31" i="32"/>
  <c r="T32" i="32" s="1"/>
  <c r="S25" i="25"/>
  <c r="S27" i="25" s="1"/>
  <c r="U41" i="27"/>
  <c r="U33" i="27"/>
  <c r="S20" i="31"/>
  <c r="S76" i="25"/>
  <c r="S74" i="25"/>
  <c r="S6" i="35"/>
  <c r="T37" i="25"/>
  <c r="S4" i="4"/>
  <c r="S26" i="25" l="1"/>
  <c r="S19" i="35" s="1"/>
  <c r="T34" i="32"/>
  <c r="T5" i="34"/>
  <c r="T4" i="34" s="1"/>
  <c r="T21" i="34" s="1"/>
  <c r="T71" i="25"/>
  <c r="T30" i="25"/>
  <c r="S9" i="31"/>
  <c r="S8" i="31" s="1"/>
  <c r="S26" i="31" s="1"/>
  <c r="S18" i="35"/>
  <c r="U35" i="27"/>
  <c r="U40" i="27"/>
  <c r="S16" i="35" l="1"/>
  <c r="S13" i="35" s="1"/>
  <c r="S27" i="31"/>
  <c r="S5" i="35"/>
  <c r="S4" i="35" s="1"/>
  <c r="U36" i="27"/>
  <c r="U27" i="27" s="1"/>
  <c r="U42" i="27"/>
  <c r="U44" i="27"/>
  <c r="U45" i="27"/>
  <c r="T39" i="25"/>
  <c r="T73" i="25" s="1"/>
  <c r="T31" i="25"/>
  <c r="T64" i="25"/>
  <c r="S21" i="35" l="1"/>
  <c r="U6" i="34"/>
  <c r="V39" i="27"/>
  <c r="U29" i="27"/>
  <c r="U28" i="27"/>
  <c r="U19" i="34" s="1"/>
  <c r="T33" i="25"/>
  <c r="T65" i="25"/>
  <c r="T38" i="25"/>
  <c r="U22" i="32"/>
  <c r="U12" i="32" l="1"/>
  <c r="U18" i="34"/>
  <c r="T72" i="25"/>
  <c r="T34" i="25"/>
  <c r="T68" i="25" s="1"/>
  <c r="T40" i="25"/>
  <c r="V32" i="27"/>
  <c r="T42" i="25"/>
  <c r="T67" i="25"/>
  <c r="T43" i="25"/>
  <c r="T77" i="25" s="1"/>
  <c r="T25" i="25" l="1"/>
  <c r="T27" i="25" s="1"/>
  <c r="T20" i="31"/>
  <c r="T76" i="25"/>
  <c r="V33" i="27"/>
  <c r="V41" i="27"/>
  <c r="U37" i="25"/>
  <c r="T74" i="25"/>
  <c r="T6" i="35"/>
  <c r="U11" i="32"/>
  <c r="T13" i="4"/>
  <c r="T7" i="4" s="1"/>
  <c r="T26" i="25" l="1"/>
  <c r="T19" i="35" s="1"/>
  <c r="U17" i="34"/>
  <c r="U16" i="34" s="1"/>
  <c r="U13" i="34" s="1"/>
  <c r="U9" i="32"/>
  <c r="U8" i="32" s="1"/>
  <c r="U4" i="32" s="1"/>
  <c r="U31" i="32" s="1"/>
  <c r="T6" i="4"/>
  <c r="U30" i="25"/>
  <c r="U71" i="25"/>
  <c r="V40" i="27"/>
  <c r="V35" i="27"/>
  <c r="T9" i="31"/>
  <c r="T8" i="31" s="1"/>
  <c r="T26" i="31" s="1"/>
  <c r="T18" i="35"/>
  <c r="T16" i="35" l="1"/>
  <c r="T13" i="35" s="1"/>
  <c r="V45" i="27"/>
  <c r="V44" i="27"/>
  <c r="U31" i="25"/>
  <c r="U39" i="25"/>
  <c r="U73" i="25" s="1"/>
  <c r="U64" i="25"/>
  <c r="V36" i="27"/>
  <c r="V27" i="27" s="1"/>
  <c r="V42" i="27"/>
  <c r="T4" i="4"/>
  <c r="U5" i="34"/>
  <c r="U4" i="34" s="1"/>
  <c r="U21" i="34" s="1"/>
  <c r="U34" i="32"/>
  <c r="U32" i="32"/>
  <c r="T5" i="35"/>
  <c r="T4" i="35" s="1"/>
  <c r="T27" i="31"/>
  <c r="T21" i="35" l="1"/>
  <c r="V22" i="32"/>
  <c r="V12" i="32" s="1"/>
  <c r="U13" i="4" s="1"/>
  <c r="U7" i="4" s="1"/>
  <c r="W39" i="27"/>
  <c r="V6" i="34"/>
  <c r="U38" i="25"/>
  <c r="U65" i="25"/>
  <c r="U33" i="25"/>
  <c r="V28" i="27"/>
  <c r="V19" i="34" s="1"/>
  <c r="V29" i="27"/>
  <c r="V18" i="34" l="1"/>
  <c r="V11" i="32"/>
  <c r="U34" i="25"/>
  <c r="U68" i="25" s="1"/>
  <c r="U72" i="25"/>
  <c r="U40" i="25"/>
  <c r="V17" i="34"/>
  <c r="V9" i="32"/>
  <c r="V8" i="32" s="1"/>
  <c r="V4" i="32" s="1"/>
  <c r="U6" i="4"/>
  <c r="U43" i="25"/>
  <c r="U77" i="25" s="1"/>
  <c r="U42" i="25"/>
  <c r="U67" i="25"/>
  <c r="W32" i="27"/>
  <c r="V31" i="32" l="1"/>
  <c r="V5" i="34" s="1"/>
  <c r="V4" i="34" s="1"/>
  <c r="U25" i="25"/>
  <c r="U26" i="25" s="1"/>
  <c r="U19" i="35" s="1"/>
  <c r="V16" i="34"/>
  <c r="V13" i="34" s="1"/>
  <c r="W41" i="27"/>
  <c r="W33" i="27"/>
  <c r="U76" i="25"/>
  <c r="U20" i="31"/>
  <c r="U6" i="35"/>
  <c r="V37" i="25"/>
  <c r="U74" i="25"/>
  <c r="U4" i="4"/>
  <c r="V32" i="32" l="1"/>
  <c r="V34" i="32"/>
  <c r="U27" i="25"/>
  <c r="V21" i="34"/>
  <c r="U9" i="31"/>
  <c r="U8" i="31" s="1"/>
  <c r="U26" i="31" s="1"/>
  <c r="U18" i="35"/>
  <c r="U16" i="35" s="1"/>
  <c r="U13" i="35" s="1"/>
  <c r="V71" i="25"/>
  <c r="V30" i="25"/>
  <c r="W40" i="27"/>
  <c r="W35" i="27"/>
  <c r="V31" i="25" l="1"/>
  <c r="V64" i="25"/>
  <c r="V39" i="25"/>
  <c r="V73" i="25" s="1"/>
  <c r="W45" i="27"/>
  <c r="W44" i="27"/>
  <c r="W36" i="27"/>
  <c r="W27" i="27" s="1"/>
  <c r="W42" i="27"/>
  <c r="U5" i="35"/>
  <c r="U4" i="35" s="1"/>
  <c r="U21" i="35" s="1"/>
  <c r="U27" i="31"/>
  <c r="X39" i="27" l="1"/>
  <c r="W6" i="34"/>
  <c r="W28" i="27"/>
  <c r="W19" i="34" s="1"/>
  <c r="W29" i="27"/>
  <c r="W22" i="32"/>
  <c r="V33" i="25"/>
  <c r="V65" i="25"/>
  <c r="V38" i="25"/>
  <c r="V34" i="25" l="1"/>
  <c r="V68" i="25" s="1"/>
  <c r="V72" i="25"/>
  <c r="V40" i="25"/>
  <c r="V43" i="25"/>
  <c r="V77" i="25" s="1"/>
  <c r="V67" i="25"/>
  <c r="V42" i="25"/>
  <c r="W12" i="32"/>
  <c r="W18" i="34"/>
  <c r="X32" i="27"/>
  <c r="V25" i="25" l="1"/>
  <c r="V27" i="25" s="1"/>
  <c r="X41" i="27"/>
  <c r="X33" i="27"/>
  <c r="W37" i="25"/>
  <c r="V6" i="35"/>
  <c r="V74" i="25"/>
  <c r="V76" i="25"/>
  <c r="V20" i="31"/>
  <c r="W11" i="32"/>
  <c r="V13" i="4"/>
  <c r="V7" i="4" s="1"/>
  <c r="V26" i="25" l="1"/>
  <c r="V19" i="35" s="1"/>
  <c r="W9" i="32"/>
  <c r="W8" i="32" s="1"/>
  <c r="W4" i="32" s="1"/>
  <c r="W31" i="32" s="1"/>
  <c r="W17" i="34"/>
  <c r="W16" i="34" s="1"/>
  <c r="W13" i="34" s="1"/>
  <c r="V6" i="4"/>
  <c r="X40" i="27"/>
  <c r="X35" i="27"/>
  <c r="V9" i="31"/>
  <c r="V8" i="31" s="1"/>
  <c r="V26" i="31" s="1"/>
  <c r="V18" i="35"/>
  <c r="W71" i="25"/>
  <c r="W30" i="25"/>
  <c r="V16" i="35" l="1"/>
  <c r="V13" i="35" s="1"/>
  <c r="X36" i="27"/>
  <c r="X27" i="27" s="1"/>
  <c r="X42" i="27"/>
  <c r="V4" i="4"/>
  <c r="V27" i="31"/>
  <c r="V5" i="35"/>
  <c r="V4" i="35" s="1"/>
  <c r="W31" i="25"/>
  <c r="W64" i="25"/>
  <c r="W39" i="25"/>
  <c r="W73" i="25" s="1"/>
  <c r="X45" i="27"/>
  <c r="X44" i="27"/>
  <c r="W34" i="32"/>
  <c r="W5" i="34"/>
  <c r="W4" i="34" s="1"/>
  <c r="W21" i="34" s="1"/>
  <c r="W32" i="32"/>
  <c r="V21" i="35" l="1"/>
  <c r="X22" i="32"/>
  <c r="W65" i="25"/>
  <c r="W38" i="25"/>
  <c r="W33" i="25"/>
  <c r="X6" i="34"/>
  <c r="Y39" i="27"/>
  <c r="X29" i="27"/>
  <c r="X28" i="27"/>
  <c r="X19" i="34" s="1"/>
  <c r="W43" i="25" l="1"/>
  <c r="W77" i="25" s="1"/>
  <c r="W67" i="25"/>
  <c r="W42" i="25"/>
  <c r="W34" i="25"/>
  <c r="W68" i="25" s="1"/>
  <c r="W72" i="25"/>
  <c r="W40" i="25"/>
  <c r="Y32" i="27"/>
  <c r="X12" i="32"/>
  <c r="X18" i="34"/>
  <c r="W25" i="25" l="1"/>
  <c r="W26" i="25" s="1"/>
  <c r="W19" i="35" s="1"/>
  <c r="W6" i="35"/>
  <c r="X37" i="25"/>
  <c r="W74" i="25"/>
  <c r="X11" i="32"/>
  <c r="W13" i="4"/>
  <c r="W7" i="4" s="1"/>
  <c r="W76" i="25"/>
  <c r="W20" i="31"/>
  <c r="Y33" i="27"/>
  <c r="Y41" i="27"/>
  <c r="W27" i="25" l="1"/>
  <c r="X9" i="32"/>
  <c r="X8" i="32" s="1"/>
  <c r="X4" i="32" s="1"/>
  <c r="X31" i="32" s="1"/>
  <c r="X17" i="34"/>
  <c r="X16" i="34" s="1"/>
  <c r="X13" i="34" s="1"/>
  <c r="W6" i="4"/>
  <c r="Y40" i="27"/>
  <c r="Y35" i="27"/>
  <c r="X71" i="25"/>
  <c r="X30" i="25"/>
  <c r="W9" i="31"/>
  <c r="W8" i="31" s="1"/>
  <c r="W26" i="31" s="1"/>
  <c r="W18" i="35"/>
  <c r="W16" i="35" s="1"/>
  <c r="W13" i="35" s="1"/>
  <c r="Y36" i="27" l="1"/>
  <c r="Y27" i="27" s="1"/>
  <c r="Y42" i="27"/>
  <c r="X39" i="25"/>
  <c r="X73" i="25" s="1"/>
  <c r="X64" i="25"/>
  <c r="X31" i="25"/>
  <c r="W4" i="4"/>
  <c r="W27" i="31"/>
  <c r="W5" i="35"/>
  <c r="W4" i="35" s="1"/>
  <c r="W21" i="35" s="1"/>
  <c r="Y45" i="27"/>
  <c r="Y44" i="27"/>
  <c r="X32" i="32"/>
  <c r="X5" i="34"/>
  <c r="X4" i="34" s="1"/>
  <c r="X21" i="34" s="1"/>
  <c r="X34" i="32"/>
  <c r="Y22" i="32" l="1"/>
  <c r="Y12" i="32" s="1"/>
  <c r="Y11" i="32" s="1"/>
  <c r="Z39" i="27"/>
  <c r="Y6" i="34"/>
  <c r="X65" i="25"/>
  <c r="X38" i="25"/>
  <c r="X33" i="25"/>
  <c r="Y28" i="27"/>
  <c r="Y19" i="34" s="1"/>
  <c r="Y29" i="27"/>
  <c r="X13" i="4" l="1"/>
  <c r="X7" i="4" s="1"/>
  <c r="Y17" i="34" s="1"/>
  <c r="Y18" i="34"/>
  <c r="X42" i="25"/>
  <c r="X67" i="25"/>
  <c r="X43" i="25"/>
  <c r="X77" i="25" s="1"/>
  <c r="Z32" i="27"/>
  <c r="X72" i="25"/>
  <c r="X34" i="25"/>
  <c r="X68" i="25" s="1"/>
  <c r="X40" i="25"/>
  <c r="Y16" i="34" l="1"/>
  <c r="Y13" i="34" s="1"/>
  <c r="Y9" i="32"/>
  <c r="Y8" i="32" s="1"/>
  <c r="Y4" i="32" s="1"/>
  <c r="Y31" i="32" s="1"/>
  <c r="Y5" i="34" s="1"/>
  <c r="Y4" i="34" s="1"/>
  <c r="X6" i="4"/>
  <c r="X4" i="4" s="1"/>
  <c r="X25" i="25"/>
  <c r="Y37" i="25"/>
  <c r="X6" i="35"/>
  <c r="X74" i="25"/>
  <c r="Z41" i="27"/>
  <c r="Z33" i="27"/>
  <c r="X20" i="31"/>
  <c r="X76" i="25"/>
  <c r="Y21" i="34" l="1"/>
  <c r="Y32" i="32"/>
  <c r="Y34" i="32"/>
  <c r="X9" i="31"/>
  <c r="X8" i="31" s="1"/>
  <c r="X26" i="31" s="1"/>
  <c r="X18" i="35"/>
  <c r="Z40" i="27"/>
  <c r="Z35" i="27"/>
  <c r="Y30" i="25"/>
  <c r="Y71" i="25"/>
  <c r="X27" i="25"/>
  <c r="X26" i="25"/>
  <c r="X19" i="35" s="1"/>
  <c r="Z45" i="27" l="1"/>
  <c r="Z44" i="27"/>
  <c r="Z36" i="27"/>
  <c r="Z27" i="27" s="1"/>
  <c r="Z42" i="27"/>
  <c r="X16" i="35"/>
  <c r="X13" i="35" s="1"/>
  <c r="Y39" i="25"/>
  <c r="Y73" i="25" s="1"/>
  <c r="Y31" i="25"/>
  <c r="Y64" i="25"/>
  <c r="X27" i="31"/>
  <c r="X5" i="35"/>
  <c r="X4" i="35" s="1"/>
  <c r="X21" i="35" l="1"/>
  <c r="Z22" i="32"/>
  <c r="Z12" i="32" s="1"/>
  <c r="Y13" i="4" s="1"/>
  <c r="Y7" i="4" s="1"/>
  <c r="Y65" i="25"/>
  <c r="Y38" i="25"/>
  <c r="Y33" i="25"/>
  <c r="Z29" i="27"/>
  <c r="Z28" i="27"/>
  <c r="Z19" i="34" s="1"/>
  <c r="AA39" i="27"/>
  <c r="Z6" i="34"/>
  <c r="Z11" i="32" l="1"/>
  <c r="Z18" i="34"/>
  <c r="Z17" i="34"/>
  <c r="Z9" i="32"/>
  <c r="Z8" i="32" s="1"/>
  <c r="Z4" i="32" s="1"/>
  <c r="Y6" i="4"/>
  <c r="Y67" i="25"/>
  <c r="Y43" i="25"/>
  <c r="Y77" i="25" s="1"/>
  <c r="Y42" i="25"/>
  <c r="Y34" i="25"/>
  <c r="Y68" i="25" s="1"/>
  <c r="Y72" i="25"/>
  <c r="Y40" i="25"/>
  <c r="AA32" i="27"/>
  <c r="Z16" i="34" l="1"/>
  <c r="Z13" i="34" s="1"/>
  <c r="Z31" i="32"/>
  <c r="Z5" i="34" s="1"/>
  <c r="Z4" i="34" s="1"/>
  <c r="Y25" i="25"/>
  <c r="Y26" i="25" s="1"/>
  <c r="Y19" i="35" s="1"/>
  <c r="AA41" i="27"/>
  <c r="AA33" i="27"/>
  <c r="Z37" i="25"/>
  <c r="Y6" i="35"/>
  <c r="Y74" i="25"/>
  <c r="Y4" i="4"/>
  <c r="Y20" i="31"/>
  <c r="Y76" i="25"/>
  <c r="Z21" i="34" l="1"/>
  <c r="Z32" i="32"/>
  <c r="Z34" i="32"/>
  <c r="Y27" i="25"/>
  <c r="Z71" i="25"/>
  <c r="Z30" i="25"/>
  <c r="Y9" i="31"/>
  <c r="Y8" i="31" s="1"/>
  <c r="Y26" i="31" s="1"/>
  <c r="Y18" i="35"/>
  <c r="Y16" i="35" s="1"/>
  <c r="Y13" i="35" s="1"/>
  <c r="AA40" i="27"/>
  <c r="AA35" i="27"/>
  <c r="Y5" i="35" l="1"/>
  <c r="Y4" i="35" s="1"/>
  <c r="Y21" i="35" s="1"/>
  <c r="Y27" i="31"/>
  <c r="AA44" i="27"/>
  <c r="AA45" i="27"/>
  <c r="AA36" i="27"/>
  <c r="AA27" i="27" s="1"/>
  <c r="AA42" i="27"/>
  <c r="Z39" i="25"/>
  <c r="Z73" i="25" s="1"/>
  <c r="Z64" i="25"/>
  <c r="Z31" i="25"/>
  <c r="AA22" i="32" l="1"/>
  <c r="AA12" i="32" s="1"/>
  <c r="Z13" i="4" s="1"/>
  <c r="Z7" i="4" s="1"/>
  <c r="AB39" i="27"/>
  <c r="AA6" i="34"/>
  <c r="Z65" i="25"/>
  <c r="Z33" i="25"/>
  <c r="Z38" i="25"/>
  <c r="AA28" i="27"/>
  <c r="AA19" i="34" s="1"/>
  <c r="AA29" i="27"/>
  <c r="AA18" i="34" l="1"/>
  <c r="AA11" i="32"/>
  <c r="Z72" i="25"/>
  <c r="Z34" i="25"/>
  <c r="Z68" i="25" s="1"/>
  <c r="Z40" i="25"/>
  <c r="AB32" i="27"/>
  <c r="Z43" i="25"/>
  <c r="Z77" i="25" s="1"/>
  <c r="Z42" i="25"/>
  <c r="Z67" i="25"/>
  <c r="AA9" i="32"/>
  <c r="AA8" i="32" s="1"/>
  <c r="AA4" i="32" s="1"/>
  <c r="AA17" i="34"/>
  <c r="Z6" i="4"/>
  <c r="AA31" i="32" l="1"/>
  <c r="AA5" i="34" s="1"/>
  <c r="AA4" i="34" s="1"/>
  <c r="AA16" i="34"/>
  <c r="AA13" i="34" s="1"/>
  <c r="Z25" i="25"/>
  <c r="Z26" i="25" s="1"/>
  <c r="Z19" i="35" s="1"/>
  <c r="AB41" i="27"/>
  <c r="AB33" i="27"/>
  <c r="Z20" i="31"/>
  <c r="Z76" i="25"/>
  <c r="AA37" i="25"/>
  <c r="Z6" i="35"/>
  <c r="Z74" i="25"/>
  <c r="Z4" i="4"/>
  <c r="AA32" i="32" l="1"/>
  <c r="AA34" i="32"/>
  <c r="Z27" i="25"/>
  <c r="AA21" i="34"/>
  <c r="AA30" i="25"/>
  <c r="AA71" i="25"/>
  <c r="Z9" i="31"/>
  <c r="Z8" i="31" s="1"/>
  <c r="Z26" i="31" s="1"/>
  <c r="Z18" i="35"/>
  <c r="Z16" i="35" s="1"/>
  <c r="Z13" i="35" s="1"/>
  <c r="AB40" i="27"/>
  <c r="AB35" i="27"/>
  <c r="Z5" i="35" l="1"/>
  <c r="Z4" i="35" s="1"/>
  <c r="Z21" i="35" s="1"/>
  <c r="Z27" i="31"/>
  <c r="AB45" i="27"/>
  <c r="AB44" i="27"/>
  <c r="AB36" i="27"/>
  <c r="AB27" i="27" s="1"/>
  <c r="AB42" i="27"/>
  <c r="AA64" i="25"/>
  <c r="AA31" i="25"/>
  <c r="AA39" i="25"/>
  <c r="AA73" i="25" s="1"/>
  <c r="AB22" i="32" l="1"/>
  <c r="AB12" i="32" s="1"/>
  <c r="AB11" i="32" s="1"/>
  <c r="AC39" i="27"/>
  <c r="AB6" i="34"/>
  <c r="AB29" i="27"/>
  <c r="AB28" i="27"/>
  <c r="AB19" i="34" s="1"/>
  <c r="AA65" i="25"/>
  <c r="AA38" i="25"/>
  <c r="AA33" i="25"/>
  <c r="AB18" i="34" l="1"/>
  <c r="AA13" i="4"/>
  <c r="AA7" i="4" s="1"/>
  <c r="AB17" i="34" s="1"/>
  <c r="AA72" i="25"/>
  <c r="AA34" i="25"/>
  <c r="AA68" i="25" s="1"/>
  <c r="AA40" i="25"/>
  <c r="AC32" i="27"/>
  <c r="AA43" i="25"/>
  <c r="AA77" i="25" s="1"/>
  <c r="AA42" i="25"/>
  <c r="AA67" i="25"/>
  <c r="AB16" i="34" l="1"/>
  <c r="AB13" i="34" s="1"/>
  <c r="AA6" i="4"/>
  <c r="AA4" i="4" s="1"/>
  <c r="AB9" i="32"/>
  <c r="AB8" i="32" s="1"/>
  <c r="AB4" i="32" s="1"/>
  <c r="AB31" i="32" s="1"/>
  <c r="AB5" i="34" s="1"/>
  <c r="AB4" i="34" s="1"/>
  <c r="AA25" i="25"/>
  <c r="AA26" i="25" s="1"/>
  <c r="AA19" i="35" s="1"/>
  <c r="AC41" i="27"/>
  <c r="AC33" i="27"/>
  <c r="AB37" i="25"/>
  <c r="AA6" i="35"/>
  <c r="AA74" i="25"/>
  <c r="AA20" i="31"/>
  <c r="AA76" i="25"/>
  <c r="AB21" i="34" l="1"/>
  <c r="AB32" i="32"/>
  <c r="AB34" i="32"/>
  <c r="AA27" i="25"/>
  <c r="AB30" i="25"/>
  <c r="AB71" i="25"/>
  <c r="AC40" i="27"/>
  <c r="AC35" i="27"/>
  <c r="AA9" i="31"/>
  <c r="AA8" i="31" s="1"/>
  <c r="AA26" i="31" s="1"/>
  <c r="AA18" i="35"/>
  <c r="AA16" i="35" s="1"/>
  <c r="AA13" i="35" s="1"/>
  <c r="AC36" i="27" l="1"/>
  <c r="AC27" i="27" s="1"/>
  <c r="AC42" i="27"/>
  <c r="AA27" i="31"/>
  <c r="AA5" i="35"/>
  <c r="AA4" i="35" s="1"/>
  <c r="AA21" i="35" s="1"/>
  <c r="AC45" i="27"/>
  <c r="AC44" i="27"/>
  <c r="AB39" i="25"/>
  <c r="AB73" i="25" s="1"/>
  <c r="AB64" i="25"/>
  <c r="AB31" i="25"/>
  <c r="AC22" i="32" l="1"/>
  <c r="AC12" i="32" s="1"/>
  <c r="AB13" i="4" s="1"/>
  <c r="AB7" i="4" s="1"/>
  <c r="AD39" i="27"/>
  <c r="AC6" i="34"/>
  <c r="AB65" i="25"/>
  <c r="AB33" i="25"/>
  <c r="AB38" i="25"/>
  <c r="AC29" i="27"/>
  <c r="AC28" i="27"/>
  <c r="AC19" i="34" s="1"/>
  <c r="AC11" i="32" l="1"/>
  <c r="AC18" i="34"/>
  <c r="AB67" i="25"/>
  <c r="AB43" i="25"/>
  <c r="AB77" i="25" s="1"/>
  <c r="AB42" i="25"/>
  <c r="AC17" i="34"/>
  <c r="AC9" i="32"/>
  <c r="AC8" i="32" s="1"/>
  <c r="AC4" i="32" s="1"/>
  <c r="AB6" i="4"/>
  <c r="AB34" i="25"/>
  <c r="AB68" i="25" s="1"/>
  <c r="AB72" i="25"/>
  <c r="AB40" i="25"/>
  <c r="AD32" i="27"/>
  <c r="AC16" i="34" l="1"/>
  <c r="AC13" i="34" s="1"/>
  <c r="AC31" i="32"/>
  <c r="AC5" i="34" s="1"/>
  <c r="AC4" i="34" s="1"/>
  <c r="AB25" i="25"/>
  <c r="AB26" i="25" s="1"/>
  <c r="AB19" i="35" s="1"/>
  <c r="AB4" i="4"/>
  <c r="AB20" i="31"/>
  <c r="AB76" i="25"/>
  <c r="AD41" i="27"/>
  <c r="AD33" i="27"/>
  <c r="AC37" i="25"/>
  <c r="AB74" i="25"/>
  <c r="AB6" i="35"/>
  <c r="AC21" i="34" l="1"/>
  <c r="AB27" i="25"/>
  <c r="AC34" i="32"/>
  <c r="AC32" i="32"/>
  <c r="AC71" i="25"/>
  <c r="AC30" i="25"/>
  <c r="AB9" i="31"/>
  <c r="AB8" i="31" s="1"/>
  <c r="AB26" i="31" s="1"/>
  <c r="AB18" i="35"/>
  <c r="AB16" i="35" s="1"/>
  <c r="AB13" i="35" s="1"/>
  <c r="AD35" i="27"/>
  <c r="AD40" i="27"/>
  <c r="AD36" i="27" l="1"/>
  <c r="AD27" i="27" s="1"/>
  <c r="AD42" i="27"/>
  <c r="AD44" i="27"/>
  <c r="AD45" i="27"/>
  <c r="AC39" i="25"/>
  <c r="AC73" i="25" s="1"/>
  <c r="AC64" i="25"/>
  <c r="AC31" i="25"/>
  <c r="AB5" i="35"/>
  <c r="AB4" i="35" s="1"/>
  <c r="AB21" i="35" s="1"/>
  <c r="AB27" i="31"/>
  <c r="AD22" i="32" l="1"/>
  <c r="AC65" i="25"/>
  <c r="AC38" i="25"/>
  <c r="AC33" i="25"/>
  <c r="AE39" i="27"/>
  <c r="AD6" i="34"/>
  <c r="AD29" i="27"/>
  <c r="AD28" i="27"/>
  <c r="AD19" i="34" s="1"/>
  <c r="AC72" i="25" l="1"/>
  <c r="AC34" i="25"/>
  <c r="AC68" i="25" s="1"/>
  <c r="AC40" i="25"/>
  <c r="AC43" i="25"/>
  <c r="AC77" i="25" s="1"/>
  <c r="AC42" i="25"/>
  <c r="AC67" i="25"/>
  <c r="AE32" i="27"/>
  <c r="AD12" i="32"/>
  <c r="AD18" i="34"/>
  <c r="AC25" i="25" l="1"/>
  <c r="AC27" i="25" s="1"/>
  <c r="AD11" i="32"/>
  <c r="AC13" i="4"/>
  <c r="AC7" i="4" s="1"/>
  <c r="AD37" i="25"/>
  <c r="AC74" i="25"/>
  <c r="AC6" i="35"/>
  <c r="AE33" i="27"/>
  <c r="AE41" i="27"/>
  <c r="AC76" i="25"/>
  <c r="AC20" i="31"/>
  <c r="AC26" i="25" l="1"/>
  <c r="AC19" i="35" s="1"/>
  <c r="AE40" i="27"/>
  <c r="AE35" i="27"/>
  <c r="AC9" i="31"/>
  <c r="AC8" i="31" s="1"/>
  <c r="AC26" i="31" s="1"/>
  <c r="AC18" i="35"/>
  <c r="AD17" i="34"/>
  <c r="AD16" i="34" s="1"/>
  <c r="AD13" i="34" s="1"/>
  <c r="AD9" i="32"/>
  <c r="AD8" i="32" s="1"/>
  <c r="AD4" i="32" s="1"/>
  <c r="AD31" i="32" s="1"/>
  <c r="AC6" i="4"/>
  <c r="AD71" i="25"/>
  <c r="AD30" i="25"/>
  <c r="AC16" i="35" l="1"/>
  <c r="AC13" i="35" s="1"/>
  <c r="AC4" i="4"/>
  <c r="AC5" i="35"/>
  <c r="AC4" i="35" s="1"/>
  <c r="AC27" i="31"/>
  <c r="AD32" i="32"/>
  <c r="AD5" i="34"/>
  <c r="AD4" i="34" s="1"/>
  <c r="AD21" i="34" s="1"/>
  <c r="AD34" i="32"/>
  <c r="AE44" i="27"/>
  <c r="AE45" i="27"/>
  <c r="AD64" i="25"/>
  <c r="AD31" i="25"/>
  <c r="AD39" i="25"/>
  <c r="AD73" i="25" s="1"/>
  <c r="AE36" i="27"/>
  <c r="AE27" i="27" s="1"/>
  <c r="AE42" i="27"/>
  <c r="AC21" i="35" l="1"/>
  <c r="AE22" i="32"/>
  <c r="AE12" i="32" s="1"/>
  <c r="AE11" i="32" s="1"/>
  <c r="AE6" i="34"/>
  <c r="AF39" i="27"/>
  <c r="AD65" i="25"/>
  <c r="AD38" i="25"/>
  <c r="AD33" i="25"/>
  <c r="AE28" i="27"/>
  <c r="AE19" i="34" s="1"/>
  <c r="AE29" i="27"/>
  <c r="AE18" i="34" l="1"/>
  <c r="AD13" i="4"/>
  <c r="AD7" i="4" s="1"/>
  <c r="AD6" i="4" s="1"/>
  <c r="AD42" i="25"/>
  <c r="AD67" i="25"/>
  <c r="AD43" i="25"/>
  <c r="AD77" i="25" s="1"/>
  <c r="AF32" i="27"/>
  <c r="AD34" i="25"/>
  <c r="AD68" i="25" s="1"/>
  <c r="AD72" i="25"/>
  <c r="AD40" i="25"/>
  <c r="AE17" i="34" l="1"/>
  <c r="AE16" i="34" s="1"/>
  <c r="AE13" i="34" s="1"/>
  <c r="AE9" i="32"/>
  <c r="AE8" i="32" s="1"/>
  <c r="AE4" i="32" s="1"/>
  <c r="AE31" i="32" s="1"/>
  <c r="AE5" i="34" s="1"/>
  <c r="AE4" i="34" s="1"/>
  <c r="AD25" i="25"/>
  <c r="AD27" i="25" s="1"/>
  <c r="AD6" i="35"/>
  <c r="AD74" i="25"/>
  <c r="AE37" i="25"/>
  <c r="AF41" i="27"/>
  <c r="AF33" i="27"/>
  <c r="AD4" i="4"/>
  <c r="AD20" i="31"/>
  <c r="AD76" i="25"/>
  <c r="AE21" i="34" l="1"/>
  <c r="AD26" i="25"/>
  <c r="AD19" i="35" s="1"/>
  <c r="AE34" i="32"/>
  <c r="AE32" i="32"/>
  <c r="AF40" i="27"/>
  <c r="AF35" i="27"/>
  <c r="AE30" i="25"/>
  <c r="AE71" i="25"/>
  <c r="AD9" i="31"/>
  <c r="AD8" i="31" s="1"/>
  <c r="AD26" i="31" s="1"/>
  <c r="AD18" i="35"/>
  <c r="AD16" i="35" l="1"/>
  <c r="AD13" i="35" s="1"/>
  <c r="AE31" i="25"/>
  <c r="AE64" i="25"/>
  <c r="AE39" i="25"/>
  <c r="AE73" i="25" s="1"/>
  <c r="AD5" i="35"/>
  <c r="AD4" i="35" s="1"/>
  <c r="AD27" i="31"/>
  <c r="AF44" i="27"/>
  <c r="AF45" i="27"/>
  <c r="AF36" i="27"/>
  <c r="AF27" i="27" s="1"/>
  <c r="AF42" i="27"/>
  <c r="AD21" i="35" l="1"/>
  <c r="AF22" i="32"/>
  <c r="AF12" i="32" s="1"/>
  <c r="AE13" i="4" s="1"/>
  <c r="AE7" i="4" s="1"/>
  <c r="AF6" i="34"/>
  <c r="AG39" i="27"/>
  <c r="AF28" i="27"/>
  <c r="AF19" i="34" s="1"/>
  <c r="AF29" i="27"/>
  <c r="AE38" i="25"/>
  <c r="AE65" i="25"/>
  <c r="AE33" i="25"/>
  <c r="AF11" i="32" l="1"/>
  <c r="AF18" i="34"/>
  <c r="AG32" i="27"/>
  <c r="AE72" i="25"/>
  <c r="AE34" i="25"/>
  <c r="AE68" i="25" s="1"/>
  <c r="AE40" i="25"/>
  <c r="AE67" i="25"/>
  <c r="AE43" i="25"/>
  <c r="AE77" i="25" s="1"/>
  <c r="AE42" i="25"/>
  <c r="AF9" i="32"/>
  <c r="AF8" i="32" s="1"/>
  <c r="AF4" i="32" s="1"/>
  <c r="AF17" i="34"/>
  <c r="AE6" i="4"/>
  <c r="AF16" i="34" l="1"/>
  <c r="AF13" i="34" s="1"/>
  <c r="AF31" i="32"/>
  <c r="AF32" i="32" s="1"/>
  <c r="AE76" i="25"/>
  <c r="AE20" i="31"/>
  <c r="AE4" i="4"/>
  <c r="AE25" i="25"/>
  <c r="AE74" i="25"/>
  <c r="AF37" i="25"/>
  <c r="AE6" i="35"/>
  <c r="AG33" i="27"/>
  <c r="AG41" i="27"/>
  <c r="AF5" i="34" l="1"/>
  <c r="AF4" i="34" s="1"/>
  <c r="AF21" i="34" s="1"/>
  <c r="AF34" i="32"/>
  <c r="AE27" i="25"/>
  <c r="AE26" i="25"/>
  <c r="AE19" i="35" s="1"/>
  <c r="AF71" i="25"/>
  <c r="AF30" i="25"/>
  <c r="AG35" i="27"/>
  <c r="AG40" i="27"/>
  <c r="AE9" i="31"/>
  <c r="AE8" i="31" s="1"/>
  <c r="AE26" i="31" s="1"/>
  <c r="AE18" i="35"/>
  <c r="AF64" i="25" l="1"/>
  <c r="AF31" i="25"/>
  <c r="AF39" i="25"/>
  <c r="AF73" i="25" s="1"/>
  <c r="AE5" i="35"/>
  <c r="AE4" i="35" s="1"/>
  <c r="AE27" i="31"/>
  <c r="AG36" i="27"/>
  <c r="AG27" i="27" s="1"/>
  <c r="AG42" i="27"/>
  <c r="AG44" i="27"/>
  <c r="AG45" i="27"/>
  <c r="AE16" i="35"/>
  <c r="AE13" i="35" s="1"/>
  <c r="AG22" i="32" l="1"/>
  <c r="AG12" i="32" s="1"/>
  <c r="AF13" i="4" s="1"/>
  <c r="AF7" i="4" s="1"/>
  <c r="AE21" i="35"/>
  <c r="AH39" i="27"/>
  <c r="AG6" i="34"/>
  <c r="AG28" i="27"/>
  <c r="AG19" i="34" s="1"/>
  <c r="AG29" i="27"/>
  <c r="AF33" i="25"/>
  <c r="AF38" i="25"/>
  <c r="AF65" i="25"/>
  <c r="AG11" i="32" l="1"/>
  <c r="AG18" i="34"/>
  <c r="AF34" i="25"/>
  <c r="AF68" i="25" s="1"/>
  <c r="AF72" i="25"/>
  <c r="AF40" i="25"/>
  <c r="AF67" i="25"/>
  <c r="AF42" i="25"/>
  <c r="AF43" i="25"/>
  <c r="AF77" i="25" s="1"/>
  <c r="AG9" i="32"/>
  <c r="AG8" i="32" s="1"/>
  <c r="AG4" i="32" s="1"/>
  <c r="AG17" i="34"/>
  <c r="AF6" i="4"/>
  <c r="AF4" i="4" s="1"/>
  <c r="AH32" i="27"/>
  <c r="AG31" i="32" l="1"/>
  <c r="AG5" i="34" s="1"/>
  <c r="AG4" i="34" s="1"/>
  <c r="AG16" i="34"/>
  <c r="AG13" i="34" s="1"/>
  <c r="AH33" i="27"/>
  <c r="AH41" i="27"/>
  <c r="AF25" i="25"/>
  <c r="AG37" i="25"/>
  <c r="AF6" i="35"/>
  <c r="AF74" i="25"/>
  <c r="AF76" i="25"/>
  <c r="AF20" i="31"/>
  <c r="AG34" i="32" l="1"/>
  <c r="AG32" i="32"/>
  <c r="AG21" i="34"/>
  <c r="AH40" i="27"/>
  <c r="AH35" i="27"/>
  <c r="AF9" i="31"/>
  <c r="AF8" i="31" s="1"/>
  <c r="AF26" i="31" s="1"/>
  <c r="AF18" i="35"/>
  <c r="AG30" i="25"/>
  <c r="AG71" i="25"/>
  <c r="AF27" i="25"/>
  <c r="AF26" i="25"/>
  <c r="AF19" i="35" s="1"/>
  <c r="AG64" i="25" l="1"/>
  <c r="AG31" i="25"/>
  <c r="AG39" i="25"/>
  <c r="AG73" i="25" s="1"/>
  <c r="AF16" i="35"/>
  <c r="AF13" i="35" s="1"/>
  <c r="AF27" i="31"/>
  <c r="AF5" i="35"/>
  <c r="AF4" i="35" s="1"/>
  <c r="AH44" i="27"/>
  <c r="AH45" i="27"/>
  <c r="AH36" i="27"/>
  <c r="AH27" i="27" s="1"/>
  <c r="AH42" i="27"/>
  <c r="AH22" i="32" l="1"/>
  <c r="AH12" i="32" s="1"/>
  <c r="AH11" i="32" s="1"/>
  <c r="AF21" i="35"/>
  <c r="AH29" i="27"/>
  <c r="AH28" i="27"/>
  <c r="AH6" i="34"/>
  <c r="AI39" i="27"/>
  <c r="AG38" i="25"/>
  <c r="AG65" i="25"/>
  <c r="AG33" i="25"/>
  <c r="AG13" i="4" l="1"/>
  <c r="AG7" i="4" s="1"/>
  <c r="AG6" i="4" s="1"/>
  <c r="AH18" i="34"/>
  <c r="AG42" i="25"/>
  <c r="AG43" i="25"/>
  <c r="AG67" i="25"/>
  <c r="AH19" i="34"/>
  <c r="AI32" i="27"/>
  <c r="AG72" i="25"/>
  <c r="AG34" i="25"/>
  <c r="AG68" i="25" s="1"/>
  <c r="AG40" i="25"/>
  <c r="AH9" i="32" l="1"/>
  <c r="AH8" i="32" s="1"/>
  <c r="AH4" i="32" s="1"/>
  <c r="AH31" i="32" s="1"/>
  <c r="AH34" i="32" s="1"/>
  <c r="AH17" i="34"/>
  <c r="AH16" i="34" s="1"/>
  <c r="AH13" i="34" s="1"/>
  <c r="AG25" i="25"/>
  <c r="AG27" i="25" s="1"/>
  <c r="AG20" i="31"/>
  <c r="AG76" i="25"/>
  <c r="AG74" i="25"/>
  <c r="AG6" i="35"/>
  <c r="AH37" i="25"/>
  <c r="AI33" i="27"/>
  <c r="AI41" i="27"/>
  <c r="AG77" i="25"/>
  <c r="AG4" i="4"/>
  <c r="AG26" i="25" l="1"/>
  <c r="AG19" i="35" s="1"/>
  <c r="AH5" i="34"/>
  <c r="AH4" i="34" s="1"/>
  <c r="AH21" i="34" s="1"/>
  <c r="AH32" i="32"/>
  <c r="AI40" i="27"/>
  <c r="AI35" i="27"/>
  <c r="AH71" i="25"/>
  <c r="AH30" i="25"/>
  <c r="AG9" i="31"/>
  <c r="AG18" i="35"/>
  <c r="AG8" i="31" l="1"/>
  <c r="AI44" i="27"/>
  <c r="AI45" i="27"/>
  <c r="AI36" i="27"/>
  <c r="AI27" i="27" s="1"/>
  <c r="AI42" i="27"/>
  <c r="AH39" i="25"/>
  <c r="AH73" i="25" s="1"/>
  <c r="AH31" i="25"/>
  <c r="AH64" i="25"/>
  <c r="AG16" i="35"/>
  <c r="AI6" i="34" l="1"/>
  <c r="AJ39" i="27"/>
  <c r="AI22" i="32"/>
  <c r="AG13" i="35"/>
  <c r="AI28" i="27"/>
  <c r="AI29" i="27"/>
  <c r="AH65" i="25"/>
  <c r="AH33" i="25"/>
  <c r="AH38" i="25"/>
  <c r="AG26" i="31"/>
  <c r="AG27" i="31" l="1"/>
  <c r="AG5" i="35"/>
  <c r="AI12" i="32"/>
  <c r="AI18" i="34"/>
  <c r="AH34" i="25"/>
  <c r="AH68" i="25" s="1"/>
  <c r="AH72" i="25"/>
  <c r="AH40" i="25"/>
  <c r="AH43" i="25"/>
  <c r="AH42" i="25"/>
  <c r="AH67" i="25"/>
  <c r="AI19" i="34"/>
  <c r="AJ32" i="27"/>
  <c r="AH25" i="25" l="1"/>
  <c r="AH27" i="25" s="1"/>
  <c r="AJ41" i="27"/>
  <c r="AJ33" i="27"/>
  <c r="AI11" i="32"/>
  <c r="AH13" i="4"/>
  <c r="AH7" i="4" s="1"/>
  <c r="AG4" i="35"/>
  <c r="AH77" i="25"/>
  <c r="AH74" i="25"/>
  <c r="AI37" i="25"/>
  <c r="AH6" i="35"/>
  <c r="AH76" i="25"/>
  <c r="AH20" i="31"/>
  <c r="AH26" i="25" l="1"/>
  <c r="AH19" i="35" s="1"/>
  <c r="AH9" i="31"/>
  <c r="AH18" i="35"/>
  <c r="AG21" i="35"/>
  <c r="AI17" i="34"/>
  <c r="AI9" i="32"/>
  <c r="AH6" i="4"/>
  <c r="AI30" i="25"/>
  <c r="AI71" i="25"/>
  <c r="AJ40" i="27"/>
  <c r="AJ35" i="27"/>
  <c r="AH4" i="4" l="1"/>
  <c r="AJ36" i="27"/>
  <c r="AJ27" i="27" s="1"/>
  <c r="AJ42" i="27"/>
  <c r="AI8" i="32"/>
  <c r="AH16" i="35"/>
  <c r="AI16" i="34"/>
  <c r="AJ44" i="27"/>
  <c r="AJ45" i="27"/>
  <c r="AI64" i="25"/>
  <c r="AI39" i="25"/>
  <c r="AI73" i="25" s="1"/>
  <c r="AI31" i="25"/>
  <c r="AH8" i="31"/>
  <c r="AJ22" i="32" l="1"/>
  <c r="AJ12" i="32" s="1"/>
  <c r="AI33" i="25"/>
  <c r="AI65" i="25"/>
  <c r="AI38" i="25"/>
  <c r="AJ6" i="34"/>
  <c r="AK39" i="27"/>
  <c r="AH13" i="35"/>
  <c r="AJ29" i="27"/>
  <c r="AJ28" i="27"/>
  <c r="AH26" i="31"/>
  <c r="AI13" i="34"/>
  <c r="AI4" i="32"/>
  <c r="AJ18" i="34" l="1"/>
  <c r="AJ19" i="34"/>
  <c r="AI34" i="25"/>
  <c r="AI68" i="25" s="1"/>
  <c r="AI72" i="25"/>
  <c r="AI40" i="25"/>
  <c r="AI13" i="4"/>
  <c r="AI7" i="4" s="1"/>
  <c r="AJ11" i="32"/>
  <c r="AI31" i="32"/>
  <c r="AH27" i="31"/>
  <c r="AH5" i="35"/>
  <c r="AK32" i="27"/>
  <c r="AI43" i="25"/>
  <c r="AI67" i="25"/>
  <c r="AI42" i="25"/>
  <c r="AI25" i="25" l="1"/>
  <c r="AI27" i="25" s="1"/>
  <c r="AI32" i="32"/>
  <c r="AI34" i="32"/>
  <c r="AI5" i="34"/>
  <c r="AI76" i="25"/>
  <c r="AI20" i="31"/>
  <c r="AK41" i="27"/>
  <c r="AK33" i="27"/>
  <c r="AH4" i="35"/>
  <c r="AJ17" i="34"/>
  <c r="AJ9" i="32"/>
  <c r="AI6" i="4"/>
  <c r="AI77" i="25"/>
  <c r="AJ37" i="25"/>
  <c r="AI6" i="35"/>
  <c r="AI74" i="25"/>
  <c r="AI26" i="25" l="1"/>
  <c r="AI19" i="35" s="1"/>
  <c r="AI4" i="4"/>
  <c r="AJ71" i="25"/>
  <c r="AJ30" i="25"/>
  <c r="AJ8" i="32"/>
  <c r="AK35" i="27"/>
  <c r="AK40" i="27"/>
  <c r="AJ16" i="34"/>
  <c r="AI4" i="34"/>
  <c r="AH21" i="35"/>
  <c r="AI9" i="31"/>
  <c r="AI18" i="35"/>
  <c r="AI21" i="34" l="1"/>
  <c r="AK45" i="27"/>
  <c r="AK44" i="27"/>
  <c r="AJ39" i="25"/>
  <c r="AJ73" i="25" s="1"/>
  <c r="AJ31" i="25"/>
  <c r="AJ64" i="25"/>
  <c r="AI8" i="31"/>
  <c r="AJ13" i="34"/>
  <c r="AJ4" i="32"/>
  <c r="AI16" i="35"/>
  <c r="AK36" i="27"/>
  <c r="AK27" i="27" s="1"/>
  <c r="AK42" i="27"/>
  <c r="AK22" i="32" l="1"/>
  <c r="AK18" i="34" s="1"/>
  <c r="AK6" i="34"/>
  <c r="AL39" i="27"/>
  <c r="AK28" i="27"/>
  <c r="AK29" i="27"/>
  <c r="AJ31" i="32"/>
  <c r="AI26" i="31"/>
  <c r="AI13" i="35"/>
  <c r="AJ65" i="25"/>
  <c r="AJ38" i="25"/>
  <c r="AJ33" i="25"/>
  <c r="AK12" i="32" l="1"/>
  <c r="AJ13" i="4" s="1"/>
  <c r="AJ7" i="4" s="1"/>
  <c r="AJ67" i="25"/>
  <c r="AJ43" i="25"/>
  <c r="AJ42" i="25"/>
  <c r="AJ32" i="32"/>
  <c r="AJ5" i="34"/>
  <c r="AJ34" i="32"/>
  <c r="AJ34" i="25"/>
  <c r="AJ68" i="25" s="1"/>
  <c r="AJ72" i="25"/>
  <c r="AJ40" i="25"/>
  <c r="AK19" i="34"/>
  <c r="AI5" i="35"/>
  <c r="AI27" i="31"/>
  <c r="AL32" i="27"/>
  <c r="AK11" i="32" l="1"/>
  <c r="AJ74" i="25"/>
  <c r="AJ6" i="35"/>
  <c r="AK37" i="25"/>
  <c r="AJ25" i="25"/>
  <c r="AK9" i="32"/>
  <c r="AK17" i="34"/>
  <c r="AJ6" i="4"/>
  <c r="AI4" i="35"/>
  <c r="AJ4" i="34"/>
  <c r="AJ76" i="25"/>
  <c r="AJ20" i="31"/>
  <c r="AL33" i="27"/>
  <c r="AL41" i="27"/>
  <c r="AJ77" i="25"/>
  <c r="AI21" i="35" l="1"/>
  <c r="AJ26" i="25"/>
  <c r="AJ27" i="25"/>
  <c r="AL35" i="27"/>
  <c r="AL40" i="27"/>
  <c r="AJ4" i="4"/>
  <c r="AK71" i="25"/>
  <c r="AK30" i="25"/>
  <c r="AJ21" i="34"/>
  <c r="AK16" i="34"/>
  <c r="AJ9" i="31"/>
  <c r="AJ18" i="35"/>
  <c r="AK8" i="32"/>
  <c r="AL44" i="27" l="1"/>
  <c r="AL45" i="27"/>
  <c r="AJ8" i="31"/>
  <c r="AK4" i="32"/>
  <c r="AK13" i="34"/>
  <c r="AK31" i="25"/>
  <c r="AK39" i="25"/>
  <c r="AK73" i="25" s="1"/>
  <c r="AK64" i="25"/>
  <c r="AL36" i="27"/>
  <c r="AL27" i="27" s="1"/>
  <c r="AL42" i="27"/>
  <c r="AL6" i="34" s="1"/>
  <c r="C6" i="34" s="1"/>
  <c r="AJ19" i="35"/>
  <c r="AJ16" i="35" s="1"/>
  <c r="AL22" i="32" l="1"/>
  <c r="AL18" i="34" s="1"/>
  <c r="C18" i="34" s="1"/>
  <c r="AJ13" i="35"/>
  <c r="AK38" i="25"/>
  <c r="AK65" i="25"/>
  <c r="AK33" i="25"/>
  <c r="AJ26" i="31"/>
  <c r="AL29" i="27"/>
  <c r="AL28" i="27"/>
  <c r="C27" i="27"/>
  <c r="AK31" i="32"/>
  <c r="C22" i="32" l="1"/>
  <c r="AL12" i="32"/>
  <c r="C12" i="32" s="1"/>
  <c r="AK34" i="32"/>
  <c r="AK32" i="32"/>
  <c r="AK5" i="34"/>
  <c r="AK72" i="25"/>
  <c r="AK34" i="25"/>
  <c r="AK68" i="25" s="1"/>
  <c r="AK40" i="25"/>
  <c r="AJ27" i="31"/>
  <c r="AJ5" i="35"/>
  <c r="AL19" i="34"/>
  <c r="C19" i="34" s="1"/>
  <c r="C28" i="27"/>
  <c r="AK67" i="25"/>
  <c r="AK42" i="25"/>
  <c r="AK43" i="25"/>
  <c r="AK25" i="25" l="1"/>
  <c r="AK27" i="25" s="1"/>
  <c r="AK13" i="4"/>
  <c r="AK7" i="4" s="1"/>
  <c r="AL17" i="34" s="1"/>
  <c r="AL11" i="32"/>
  <c r="C11" i="32" s="1"/>
  <c r="AK77" i="25"/>
  <c r="AL37" i="25"/>
  <c r="AK6" i="35"/>
  <c r="AK74" i="25"/>
  <c r="AK4" i="34"/>
  <c r="AK20" i="31"/>
  <c r="AK76" i="25"/>
  <c r="AJ4" i="35"/>
  <c r="AK26" i="25" l="1"/>
  <c r="AK19" i="35" s="1"/>
  <c r="AL9" i="32"/>
  <c r="AL8" i="32" s="1"/>
  <c r="AK6" i="4"/>
  <c r="AK4" i="4" s="1"/>
  <c r="AK21" i="34"/>
  <c r="AL16" i="34"/>
  <c r="C17" i="34"/>
  <c r="AK9" i="31"/>
  <c r="AK18" i="35"/>
  <c r="AL71" i="25"/>
  <c r="AL30" i="25"/>
  <c r="AJ21" i="35"/>
  <c r="C9" i="32" l="1"/>
  <c r="AL64" i="25"/>
  <c r="AL31" i="25"/>
  <c r="AL39" i="25"/>
  <c r="AL73" i="25" s="1"/>
  <c r="AK16" i="35"/>
  <c r="AL13" i="34"/>
  <c r="C13" i="34" s="1"/>
  <c r="C16" i="34"/>
  <c r="AK8" i="31"/>
  <c r="AL4" i="32"/>
  <c r="C8" i="32"/>
  <c r="AL65" i="25" l="1"/>
  <c r="AL38" i="25"/>
  <c r="AL33" i="25"/>
  <c r="AK26" i="31"/>
  <c r="AK13" i="35"/>
  <c r="AL31" i="32"/>
  <c r="C4" i="32"/>
  <c r="AL32" i="32" l="1"/>
  <c r="AL34" i="32"/>
  <c r="C33" i="32" s="1"/>
  <c r="AL5" i="34"/>
  <c r="C31" i="32"/>
  <c r="AK5" i="35"/>
  <c r="AK27" i="31"/>
  <c r="AL42" i="25"/>
  <c r="AL67" i="25"/>
  <c r="AL43" i="25"/>
  <c r="AL72" i="25"/>
  <c r="AL34" i="25"/>
  <c r="AL68" i="25" s="1"/>
  <c r="AL40" i="25"/>
  <c r="AL25" i="25" l="1"/>
  <c r="C25" i="25" s="1"/>
  <c r="AL20" i="31"/>
  <c r="AL76" i="25"/>
  <c r="C42" i="25"/>
  <c r="AL77" i="25"/>
  <c r="C43" i="25"/>
  <c r="AL4" i="34"/>
  <c r="C5" i="34"/>
  <c r="AL74" i="25"/>
  <c r="AL6" i="35"/>
  <c r="C6" i="35" s="1"/>
  <c r="AK4" i="35"/>
  <c r="AL27" i="25" l="1"/>
  <c r="AL26" i="25"/>
  <c r="AL19" i="35" s="1"/>
  <c r="C19" i="35" s="1"/>
  <c r="AK21" i="35"/>
  <c r="AL21" i="34"/>
  <c r="C4" i="34"/>
  <c r="C21" i="34" s="1"/>
  <c r="AL9" i="31"/>
  <c r="C20" i="31"/>
  <c r="AL18" i="35"/>
  <c r="C26" i="25" l="1"/>
  <c r="AL16" i="35"/>
  <c r="C18" i="35"/>
  <c r="AL8" i="31"/>
  <c r="C9" i="31"/>
  <c r="AL26" i="31" l="1"/>
  <c r="C8" i="31"/>
  <c r="AL13" i="35"/>
  <c r="C13" i="35" s="1"/>
  <c r="C16" i="35"/>
  <c r="AL27" i="31" l="1"/>
  <c r="AL5" i="35"/>
  <c r="C26" i="31"/>
  <c r="C34" i="31"/>
  <c r="D6" i="41" s="1"/>
  <c r="C28" i="31"/>
  <c r="E28" i="31" l="1"/>
  <c r="D5" i="41"/>
  <c r="AL4" i="35"/>
  <c r="C5" i="35"/>
  <c r="AL21" i="35" l="1"/>
  <c r="C4" i="35"/>
  <c r="C21" i="3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Diego Melo - CRA</author>
  </authors>
  <commentList>
    <comment ref="D30" authorId="0" shapeId="0" xr:uid="{00000000-0006-0000-0000-000001000000}">
      <text>
        <r>
          <rPr>
            <sz val="9"/>
            <color indexed="81"/>
            <rFont val="Segoe UI"/>
            <family val="2"/>
          </rPr>
          <t>Esta opção só é válida para o ano 5 da concessão.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Andre_Palma</author>
  </authors>
  <commentList>
    <comment ref="C60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Check aplicável somente quando não houver simulação e o crescimento do tráfego for zero.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Diego Melo - CRA</author>
  </authors>
  <commentList>
    <comment ref="C23" authorId="0" shapeId="0" xr:uid="{3B493171-3941-43E0-B44C-AAADCC7370F7}">
      <text>
        <r>
          <rPr>
            <b/>
            <sz val="9"/>
            <color indexed="81"/>
            <rFont val="Segoe UI"/>
            <family val="2"/>
          </rPr>
          <t>Valor devolvido a Concessionária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<sst xmlns="http://schemas.openxmlformats.org/spreadsheetml/2006/main" count="5719" uniqueCount="1479">
  <si>
    <t>1. SUBSCRITO</t>
  </si>
  <si>
    <t>2. A INTEGRALIZAR</t>
  </si>
  <si>
    <t>3.  INTEGRALIZADO</t>
  </si>
  <si>
    <t>4. INTEGRALIZADO NO ANO</t>
  </si>
  <si>
    <t>TOTAL</t>
  </si>
  <si>
    <t>1. MÃO DE OBRA ADMINISTRAÇÃO E OPERAÇÃO</t>
  </si>
  <si>
    <r>
      <t>2 - CONSERVAÇÃO DE ROTINA</t>
    </r>
    <r>
      <rPr>
        <sz val="8"/>
        <rFont val="Arial"/>
        <family val="2"/>
      </rPr>
      <t xml:space="preserve"> </t>
    </r>
  </si>
  <si>
    <t>3 - CONSUMO ADMINISTRAÇÃO E OPERAÇÃO</t>
  </si>
  <si>
    <t>3.5. Conservação de Rotina</t>
  </si>
  <si>
    <t>3.4. Postos de Fiscalização</t>
  </si>
  <si>
    <t>2.1. Veículos/equipamentos</t>
  </si>
  <si>
    <t xml:space="preserve">2.2. Materiais </t>
  </si>
  <si>
    <t>2.3. Serviços Contratados</t>
  </si>
  <si>
    <t>4 - TRANSPORTES</t>
  </si>
  <si>
    <t>5 - DIVERSAS</t>
  </si>
  <si>
    <t>5.2. Aluguel</t>
  </si>
  <si>
    <t>5.1. Serviços Terceiros</t>
  </si>
  <si>
    <t>6 - DEPRECIAÇÃO/AMORTIZAÇÃO</t>
  </si>
  <si>
    <t>6.1. Depreciação</t>
  </si>
  <si>
    <t>3.3. Praças de Pedágio</t>
  </si>
  <si>
    <t>3.1. Administração / Gerenciamento</t>
  </si>
  <si>
    <t>4.1. Veículos p/ Administração e Gerenciamento</t>
  </si>
  <si>
    <t>4.2. Veículos p/ Serviços Operacionais</t>
  </si>
  <si>
    <t>7 - SEGUROS / GARANTIAS</t>
  </si>
  <si>
    <t>7.1. Veículos</t>
  </si>
  <si>
    <t>7.2. Garantias</t>
  </si>
  <si>
    <t>1. DEDUÇÕES DA RECEITA</t>
  </si>
  <si>
    <t>2. OUTROS IMPOSTOS E TAXAS</t>
  </si>
  <si>
    <t>ISS</t>
  </si>
  <si>
    <t>COFINS</t>
  </si>
  <si>
    <t>PIS</t>
  </si>
  <si>
    <t>ANO</t>
  </si>
  <si>
    <t>CAT 1</t>
  </si>
  <si>
    <t>CAT 2</t>
  </si>
  <si>
    <t>CAT 3</t>
  </si>
  <si>
    <t>CAT 4</t>
  </si>
  <si>
    <t>CAT 5</t>
  </si>
  <si>
    <t>CAT 6</t>
  </si>
  <si>
    <t>CAT 7</t>
  </si>
  <si>
    <t>CAT 8</t>
  </si>
  <si>
    <t>CAT 9</t>
  </si>
  <si>
    <t>RECEITA TOTAL</t>
  </si>
  <si>
    <t>TRÁFEGO TOTAL</t>
  </si>
  <si>
    <t>Valores em R$ x 1.000</t>
  </si>
  <si>
    <t>1. EQUIPAMENTOS</t>
  </si>
  <si>
    <t>1.1. Liberação</t>
  </si>
  <si>
    <t>1.2. Juros Carência</t>
  </si>
  <si>
    <t>1.3. Prestação</t>
  </si>
  <si>
    <t>1.3.1. Juros</t>
  </si>
  <si>
    <t>1.3.2. Amortização</t>
  </si>
  <si>
    <t>2. CAPITAL DE GIRO</t>
  </si>
  <si>
    <t>2.1. Liberação</t>
  </si>
  <si>
    <t>2.2. Juros Carência</t>
  </si>
  <si>
    <t>2.3. Prestação</t>
  </si>
  <si>
    <t>2.3.1. Juros</t>
  </si>
  <si>
    <t>2.3.2. Amortização</t>
  </si>
  <si>
    <t>3. OBRAS CIVIS</t>
  </si>
  <si>
    <t>3.1. Liberação</t>
  </si>
  <si>
    <t>3.2. Juros Carência</t>
  </si>
  <si>
    <t>3.3. Prestação</t>
  </si>
  <si>
    <t>3.3.1. Juros</t>
  </si>
  <si>
    <t>3.3.2. Amortização</t>
  </si>
  <si>
    <t>4. TOTAL DA LIBERAÇÃO</t>
  </si>
  <si>
    <t>5. TOTAL DE JUROS CARÊNCIA</t>
  </si>
  <si>
    <t>6. PRESTAÇÕES</t>
  </si>
  <si>
    <t>6.1. Total de Juros</t>
  </si>
  <si>
    <t>6.2. Total de Amortização</t>
  </si>
  <si>
    <t>1. DESPESAS FINANCEIRAS</t>
  </si>
  <si>
    <t xml:space="preserve">1.1. Juros </t>
  </si>
  <si>
    <t>1.2. Bancarias (taxas)</t>
  </si>
  <si>
    <t>2. DESPESAS ATUALIZAÇÃO MONETÁRIA</t>
  </si>
  <si>
    <t xml:space="preserve">2.1. Variação Cambial </t>
  </si>
  <si>
    <t xml:space="preserve">2.2. Correção Monetária </t>
  </si>
  <si>
    <t>1. RECEITA BRUTA</t>
  </si>
  <si>
    <t>2. DEDUÇÕES DA RECEITA</t>
  </si>
  <si>
    <t>3. RECEITA LIQUIDA</t>
  </si>
  <si>
    <t>5. RESULTADO BRUTO OPERACIONAL</t>
  </si>
  <si>
    <t>6. RESULTADO FINANCEIRO</t>
  </si>
  <si>
    <t>DESCRIÇÃO</t>
  </si>
  <si>
    <t>1.1. Receitas Tarifárias</t>
  </si>
  <si>
    <t>1.1. ISS</t>
  </si>
  <si>
    <t>1.2. COFINS</t>
  </si>
  <si>
    <t>1.3. PIS</t>
  </si>
  <si>
    <t>2.1.  Outros Impostos e Taxas</t>
  </si>
  <si>
    <t>4. DESPESAS OPERACIONAIS</t>
  </si>
  <si>
    <t>4.1. Mão de Obra Administração e Operação</t>
  </si>
  <si>
    <t>6.1. Receitas Financeiras</t>
  </si>
  <si>
    <t>6.2. Despesas Financeiras</t>
  </si>
  <si>
    <t>7. RESULTADO ANTES DA CSLL E IR</t>
  </si>
  <si>
    <t>8. CSLL e IR</t>
  </si>
  <si>
    <t>9. RESULTADO DE EXERCÍCIO</t>
  </si>
  <si>
    <t>6. RESULTADO ANTES CSLL E IR</t>
  </si>
  <si>
    <t>8. RESULTADO DE EXERCÍCIO</t>
  </si>
  <si>
    <t>7. CSLL e IR</t>
  </si>
  <si>
    <t>VIDA ÚTIL</t>
  </si>
  <si>
    <t>INVESTIMENTOS</t>
  </si>
  <si>
    <t>DEPRECIAÇÃO</t>
  </si>
  <si>
    <t>1. INGRESSOS</t>
  </si>
  <si>
    <t>1.1. RECEITA BRUTA</t>
  </si>
  <si>
    <t>1.1.1. Receitas Tarifárias</t>
  </si>
  <si>
    <t>2. DESEMBOLSOS</t>
  </si>
  <si>
    <t>2.1.1. Mão de Obra Administração e Operação</t>
  </si>
  <si>
    <t>2.1. OPERACIONAIS</t>
  </si>
  <si>
    <t>2.2. INVESTIMENTOS</t>
  </si>
  <si>
    <t>3. SALDO DE CAIXA</t>
  </si>
  <si>
    <t>4. SALDO DE CAIXA ACUMULADO</t>
  </si>
  <si>
    <t>TIR DO PROJETO</t>
  </si>
  <si>
    <t>1.2. CAPITAL</t>
  </si>
  <si>
    <t>4.2. Conservação de Rotina</t>
  </si>
  <si>
    <t>4.3. Consumo Administração e Operação</t>
  </si>
  <si>
    <t>4.4. Transportes</t>
  </si>
  <si>
    <t>4.5. Diversas</t>
  </si>
  <si>
    <t>4.6. Seguros/Garantias</t>
  </si>
  <si>
    <t>4.7. Apoio a Fiscalização</t>
  </si>
  <si>
    <t>2.1.2. Conservação de Rotina</t>
  </si>
  <si>
    <t>2.1.3. Consumo Administração e Operação</t>
  </si>
  <si>
    <t>2.1.4. Transportes</t>
  </si>
  <si>
    <t>2.1.5. Diversas</t>
  </si>
  <si>
    <t>2.1.6. Seguros/Garantias</t>
  </si>
  <si>
    <t>2.1.7. Apoio a Fiscalização</t>
  </si>
  <si>
    <t>2.1.9. Tributos sobre Faturamento</t>
  </si>
  <si>
    <t>2.1.10. CSLL e IR</t>
  </si>
  <si>
    <t>2.2.2. Demais Obras</t>
  </si>
  <si>
    <t>1.2.1. Capital Integralizado</t>
  </si>
  <si>
    <t>1.2.2. Financiamentos</t>
  </si>
  <si>
    <t>2.3. FINANCIAMENTOS</t>
  </si>
  <si>
    <t>2.3.2. Amortizações</t>
  </si>
  <si>
    <t>2.1. ISS</t>
  </si>
  <si>
    <t>2.2. COFINS</t>
  </si>
  <si>
    <t>2.3. PIS</t>
  </si>
  <si>
    <t>8 - Contingências e Repasses</t>
  </si>
  <si>
    <t xml:space="preserve">   TARIFA BASE    </t>
  </si>
  <si>
    <t>Projetos</t>
  </si>
  <si>
    <t>Estudos e Licenciamentos Ambientais</t>
  </si>
  <si>
    <t>1.3.1</t>
  </si>
  <si>
    <t>1.3.2</t>
  </si>
  <si>
    <t>1.3.3</t>
  </si>
  <si>
    <t>1.3.4</t>
  </si>
  <si>
    <t>Praças de Pedágio</t>
  </si>
  <si>
    <t>Plataformas de Pesagem Móvel</t>
  </si>
  <si>
    <t>2.4</t>
  </si>
  <si>
    <t>2.6</t>
  </si>
  <si>
    <t>2.7</t>
  </si>
  <si>
    <t>Centro de Controle Operacional (CCO)</t>
  </si>
  <si>
    <t>EQUIPAMENTOS &amp; SISTEMAS DE CONTROLE E VEÍCULOS</t>
  </si>
  <si>
    <t>Veículos Operacionais</t>
  </si>
  <si>
    <t>3.3</t>
  </si>
  <si>
    <t>Sistema de Controle de Velocidade</t>
  </si>
  <si>
    <t>Pesagem Móvel - Equipamento de Pesagem</t>
  </si>
  <si>
    <t>Sistemas de Monitoramentos de Tráfego</t>
  </si>
  <si>
    <t>Circuito Fechado de TV - CFTV</t>
  </si>
  <si>
    <t>Monitoração de Tráfego - Contadores de Tráfego</t>
  </si>
  <si>
    <t>Estação Meteorológica</t>
  </si>
  <si>
    <t>Sistema 0800 - Call Center</t>
  </si>
  <si>
    <t>Rede Fibra Ótica</t>
  </si>
  <si>
    <t>Sistema de Rádio e Antenas Repetidoras</t>
  </si>
  <si>
    <t xml:space="preserve">CONSERVAÇÃO ESPECIAL </t>
  </si>
  <si>
    <t>Pavimento - Manutenção Especial</t>
  </si>
  <si>
    <t>4.1</t>
  </si>
  <si>
    <t>4.1.1</t>
  </si>
  <si>
    <t>4.1.3</t>
  </si>
  <si>
    <t>Obras de Arte Especiais  - Manutenção Especial</t>
  </si>
  <si>
    <t>4.1.2</t>
  </si>
  <si>
    <t>Dispositivos de Segurança</t>
  </si>
  <si>
    <t>Manutenção de Defensas</t>
  </si>
  <si>
    <t>Manutenção de Barreiras</t>
  </si>
  <si>
    <t>Sinalização</t>
  </si>
  <si>
    <t>Sinalização Vertical e Aérea</t>
  </si>
  <si>
    <t>Sinalização Horizontal</t>
  </si>
  <si>
    <t>Drenagem</t>
  </si>
  <si>
    <t>Sistema de Controle de Fiscalização</t>
  </si>
  <si>
    <t>Sistema de Comunicação</t>
  </si>
  <si>
    <t>Posto de Atendimento  aos Usuários SAU</t>
  </si>
  <si>
    <t>1.2</t>
  </si>
  <si>
    <t>1.3</t>
  </si>
  <si>
    <t>1.1</t>
  </si>
  <si>
    <t>2.1</t>
  </si>
  <si>
    <t>2.2</t>
  </si>
  <si>
    <t>2.3</t>
  </si>
  <si>
    <t>Prédio Administrativo</t>
  </si>
  <si>
    <t>4.3. Transporte de Valores</t>
  </si>
  <si>
    <t>1.4. Praças de Pedágio</t>
  </si>
  <si>
    <t>1.3. Conservação de Rotina (Pessoal Próprio)</t>
  </si>
  <si>
    <t>1.1. Administração / Gerenciamento</t>
  </si>
  <si>
    <t>Equipamentos Centro de Controle Operacional (CCO)</t>
  </si>
  <si>
    <t>3.2. Operação (Tráfego, Pesagem e SAU)</t>
  </si>
  <si>
    <t>2.5</t>
  </si>
  <si>
    <t>3.1</t>
  </si>
  <si>
    <t>3.2</t>
  </si>
  <si>
    <t xml:space="preserve">Veículos Conservação </t>
  </si>
  <si>
    <t>Veículos Administração</t>
  </si>
  <si>
    <t>4.2.2</t>
  </si>
  <si>
    <t>4.2.3</t>
  </si>
  <si>
    <t>4.4. Transporte de Colaboradores - Praças de Pedágio</t>
  </si>
  <si>
    <t>Praças de Pedágio - Sistema de Controle de Arrecadação</t>
  </si>
  <si>
    <t>2.2.4. Equipamentos, Sistemas e Veículos</t>
  </si>
  <si>
    <t>4.9. Depreciação/Amortização</t>
  </si>
  <si>
    <t>DEMAIS OBRAS</t>
  </si>
  <si>
    <t>2.  DEMAIS OBRAS</t>
  </si>
  <si>
    <t>4.2</t>
  </si>
  <si>
    <t>4.3</t>
  </si>
  <si>
    <t>4.4</t>
  </si>
  <si>
    <t>4.5</t>
  </si>
  <si>
    <t>4.6</t>
  </si>
  <si>
    <t>Veículos</t>
  </si>
  <si>
    <t>4.2.1</t>
  </si>
  <si>
    <t>4.2.4</t>
  </si>
  <si>
    <t>4.7</t>
  </si>
  <si>
    <t>4.8</t>
  </si>
  <si>
    <t>4.9</t>
  </si>
  <si>
    <t>4.10</t>
  </si>
  <si>
    <t>4.11</t>
  </si>
  <si>
    <t>4.12</t>
  </si>
  <si>
    <t>4.13</t>
  </si>
  <si>
    <t>4.14</t>
  </si>
  <si>
    <t>4.15</t>
  </si>
  <si>
    <t>4.16</t>
  </si>
  <si>
    <t>QUADRO E - INVESTIMENTOS</t>
  </si>
  <si>
    <t>QUADRO F - DEPRECIAÇÃO</t>
  </si>
  <si>
    <t>QUADRO G - IMPOSTOS, TAXAS E TRIBUTOS</t>
  </si>
  <si>
    <t>QUADRO H - FINANCIAMENTOS</t>
  </si>
  <si>
    <t>QUADRO I - DESPESAS FINANCEIRAS</t>
  </si>
  <si>
    <t>QUADRO J - DEMONSTRAÇÃO DO RESULTADO DO PROJETO</t>
  </si>
  <si>
    <t>QUADRO K - DEMONSTRAÇÃO DO RESULTADO ALAVANCADO</t>
  </si>
  <si>
    <t>QUADRO L - FLUXO DE CAIXA DO PROJETO</t>
  </si>
  <si>
    <t>QUADRO M - FLUXO DE CAIXA ALAVANCADO</t>
  </si>
  <si>
    <t>QUADRO C - CAPITAL SOCIAL</t>
  </si>
  <si>
    <t>QUADRO D - DESPESAS OPERACIONAIS</t>
  </si>
  <si>
    <t>QUADRO B -  RECEITAS DE PEDÁGIO</t>
  </si>
  <si>
    <t>QUADRO A - PROJEÇÃO DO VOLUME DE TRÁFEGO</t>
  </si>
  <si>
    <t>Data Base: set./10</t>
  </si>
  <si>
    <t>Posto da Polícia Rodoviário</t>
  </si>
  <si>
    <t>4.2.5</t>
  </si>
  <si>
    <t>4.12.1</t>
  </si>
  <si>
    <t>4.12.2</t>
  </si>
  <si>
    <t>TRÁFEGO PRAÇA P1</t>
  </si>
  <si>
    <t>TRÁFEGO PRAÇA P2</t>
  </si>
  <si>
    <t>TRÁFEGO PRAÇA P3</t>
  </si>
  <si>
    <t>TRÁFEGO PRAÇA P4</t>
  </si>
  <si>
    <t>TRÁFEGO PRAÇA P5</t>
  </si>
  <si>
    <t>CAT 10</t>
  </si>
  <si>
    <t>CAT 11</t>
  </si>
  <si>
    <t>CAT 12</t>
  </si>
  <si>
    <t>RECEITA PRAÇA P5</t>
  </si>
  <si>
    <t>RECEITA PRAÇA P4</t>
  </si>
  <si>
    <t>RECEITA PRAÇA P3</t>
  </si>
  <si>
    <t>RECEITA PRAÇA P2</t>
  </si>
  <si>
    <t>RECEITA PRAÇA P1</t>
  </si>
  <si>
    <t>1.5. Postos de Pesagem</t>
  </si>
  <si>
    <t>1.2. Operação (CCO, Tráfego e SAU)</t>
  </si>
  <si>
    <t>8.1. Verba para a Polícia Rodoviária Militar</t>
  </si>
  <si>
    <t>Praça de Pedágio P1</t>
  </si>
  <si>
    <t>Praça de Pedágio P2</t>
  </si>
  <si>
    <t>Praça de Pedágio P3</t>
  </si>
  <si>
    <t>Praça de Pedágio P4</t>
  </si>
  <si>
    <t>Praça de Pedágio P5</t>
  </si>
  <si>
    <t>Obras de Requalificação das Vias Existentes</t>
  </si>
  <si>
    <t>Rótula Caninha 51 - Contorno do Cabo com BR-101</t>
  </si>
  <si>
    <t>Viaduto Rótula da Curva do Boi - TDR Sul com Av. Portuária</t>
  </si>
  <si>
    <t>Prolongamento TDR Sul/Rótula da Curva do Boi a Nossa Sra. do Ó</t>
  </si>
  <si>
    <t>Base de Conservação</t>
  </si>
  <si>
    <t>3.4</t>
  </si>
  <si>
    <t>3.5</t>
  </si>
  <si>
    <t>3.6</t>
  </si>
  <si>
    <t>3.7</t>
  </si>
  <si>
    <t>3.8</t>
  </si>
  <si>
    <t>3.9</t>
  </si>
  <si>
    <t>3.10</t>
  </si>
  <si>
    <t>Painéis de Mensagem Variável - Móveis</t>
  </si>
  <si>
    <t>Painéis de Mensagem Variável - Fixos</t>
  </si>
  <si>
    <t>4.12.3</t>
  </si>
  <si>
    <t>Equipamentos de Administração</t>
  </si>
  <si>
    <t>Sinalização de Emergência</t>
  </si>
  <si>
    <t>OBRAS DE AMPLIAÇÃO E REQUALIFICAÇÃO</t>
  </si>
  <si>
    <t>1.  OBRAS DE AMPLIAÇÃO E REQUALIFICAÇÃO</t>
  </si>
  <si>
    <t>2.2.1. Obras de Ampliação e Requalificação</t>
  </si>
  <si>
    <t>2.2.3. Conservação Especial</t>
  </si>
  <si>
    <t>7.3. Equipamentos</t>
  </si>
  <si>
    <t>5.3. Energia</t>
  </si>
  <si>
    <t>Obras de Ampliação e Requalificação</t>
  </si>
  <si>
    <t xml:space="preserve">3. CONSERVAÇÃO ESPECIAL - PAVIMENTO ASFÁLTICO </t>
  </si>
  <si>
    <t>4.  EQUIPAMENTOS &amp; SISTEMAS DE CONTROLE E VEÍCULOS</t>
  </si>
  <si>
    <t>1.3.5</t>
  </si>
  <si>
    <t>Entroncamento da PE028 com a TDR Norte</t>
  </si>
  <si>
    <t>2.3.1</t>
  </si>
  <si>
    <t>2.3.2</t>
  </si>
  <si>
    <t>2.3.3</t>
  </si>
  <si>
    <t>2.3.4</t>
  </si>
  <si>
    <t>2.3.5</t>
  </si>
  <si>
    <t>2.8</t>
  </si>
  <si>
    <t>2.9</t>
  </si>
  <si>
    <t>Conservação de Rotina (sinalização, áreas verdes, tapa-buracos, defensas, drenagem, predial, etc.)</t>
  </si>
  <si>
    <t>Monitoração</t>
  </si>
  <si>
    <t>Serviço de Utilidade Publica - Faixa de Domínio</t>
  </si>
  <si>
    <t>Conservação Manutenção Informática</t>
  </si>
  <si>
    <t>Investimento</t>
  </si>
  <si>
    <t>Dívida</t>
  </si>
  <si>
    <t>Equity</t>
  </si>
  <si>
    <t>Taxa de Juros:</t>
  </si>
  <si>
    <t>Saldo Inicial</t>
  </si>
  <si>
    <t>Liberação</t>
  </si>
  <si>
    <t>Juros</t>
  </si>
  <si>
    <t>Amortização Principal</t>
  </si>
  <si>
    <t>Amortização Juros</t>
  </si>
  <si>
    <t>Saldo Final</t>
  </si>
  <si>
    <t>Anos p/ Amortização:</t>
  </si>
  <si>
    <t>Carência Principal:</t>
  </si>
  <si>
    <t>Total Despesa de Depreciação</t>
  </si>
  <si>
    <t>Necessidade Adicional de Capital</t>
  </si>
  <si>
    <t>Provisão IR/CS</t>
  </si>
  <si>
    <t>IR/CS Diferido - Prejuízos Fiscais</t>
  </si>
  <si>
    <t>IR/CS Diferido - IFRS</t>
  </si>
  <si>
    <t>Adições</t>
  </si>
  <si>
    <t>Baixas</t>
  </si>
  <si>
    <t>Base de Cálculo</t>
  </si>
  <si>
    <t>Compensação de Prejuízos Fiscais</t>
  </si>
  <si>
    <t>Base de Cálculo após compensações</t>
  </si>
  <si>
    <t>check</t>
  </si>
  <si>
    <t>Anos</t>
  </si>
  <si>
    <t>Função</t>
  </si>
  <si>
    <t>1º - 5º</t>
  </si>
  <si>
    <t>6º - 10º</t>
  </si>
  <si>
    <t>11º - 20º</t>
  </si>
  <si>
    <t>21º - 35º</t>
  </si>
  <si>
    <t>Crescimento do Tráfego</t>
  </si>
  <si>
    <t>Veículos Equivalentes</t>
  </si>
  <si>
    <t>Crescimento Total (%)</t>
  </si>
  <si>
    <t>Margem:</t>
  </si>
  <si>
    <t>SUDENE - Benefício Fiscal</t>
  </si>
  <si>
    <t>Não</t>
  </si>
  <si>
    <t>Sim</t>
  </si>
  <si>
    <t>BP ALAVANCADO</t>
  </si>
  <si>
    <t>1. ATIVO</t>
  </si>
  <si>
    <t>1.1. Caixa</t>
  </si>
  <si>
    <t>1.2. IR/CS Diferido</t>
  </si>
  <si>
    <t>1.3. Ativo Intangível</t>
  </si>
  <si>
    <t>1.3.1 Custo Histórico</t>
  </si>
  <si>
    <t>1.3.2 Amortização Acumulada</t>
  </si>
  <si>
    <t>1.4. Ativo Imobilizado</t>
  </si>
  <si>
    <t>1.4.1 Custo Histórico</t>
  </si>
  <si>
    <t>1.4.2 Depreciação Acumulada</t>
  </si>
  <si>
    <t>2. PASSIVO</t>
  </si>
  <si>
    <t>2.1. Endividamento</t>
  </si>
  <si>
    <t>2.2. IR/CS Diferido</t>
  </si>
  <si>
    <t>2.3. Patrimônio Líquido</t>
  </si>
  <si>
    <t>2.3.1. Capital Social</t>
  </si>
  <si>
    <t>BP DESALAVANCADO</t>
  </si>
  <si>
    <t>2.3.2. Reserva de Incentivo Fiscal</t>
  </si>
  <si>
    <t>2.3.3. Lucros Acumulados</t>
  </si>
  <si>
    <t>Check</t>
  </si>
  <si>
    <t>% - Simulação Custeio</t>
  </si>
  <si>
    <t>TIR DO ACIONISTA</t>
  </si>
  <si>
    <t>IR</t>
  </si>
  <si>
    <t>CS</t>
  </si>
  <si>
    <t>1.6. Outras (especificar)</t>
  </si>
  <si>
    <t>2.4. Outras (especificar)</t>
  </si>
  <si>
    <t>4.5. Outras (especificar)</t>
  </si>
  <si>
    <t>5.4. Outras (especificar)</t>
  </si>
  <si>
    <t>7.4. Outras (especificar)</t>
  </si>
  <si>
    <t>Seguro Responsabilidade Civil</t>
  </si>
  <si>
    <t>?</t>
  </si>
  <si>
    <t>Outros (especificar)</t>
  </si>
  <si>
    <t>REIDI</t>
  </si>
  <si>
    <t>Complementação de Cercas</t>
  </si>
  <si>
    <t>5. OUTROS (especificar)</t>
  </si>
  <si>
    <t>Margem de Construção</t>
  </si>
  <si>
    <t>1.3. Outras (especificar)</t>
  </si>
  <si>
    <t>2.3. Outras (especificar)</t>
  </si>
  <si>
    <t>1.2. Outras Receitas (especificar)</t>
  </si>
  <si>
    <t>4.8. Outros Impostos e Taxas (especificar)</t>
  </si>
  <si>
    <t>1.1.2. Outras Receitas (especificar)</t>
  </si>
  <si>
    <t>2.1.8. Outros Impostos e Taxas (especificar)</t>
  </si>
  <si>
    <t>Receita de Construção</t>
  </si>
  <si>
    <t>(inclui Custo de Construção)</t>
  </si>
  <si>
    <t>Outros (Conservação de Cercas e Recomposição de Áreas Verdes)</t>
  </si>
  <si>
    <t>(*) Receita de Construção: somatório dos itens 1, 2 e 5 dos Investimentos.</t>
  </si>
  <si>
    <t>(**) Custos de Construção: somatório dos itens 1 e 2 dos Investimentos.</t>
  </si>
  <si>
    <t>(***) A partir do ano 3 da concessão os valores de conservação especial (item 3, Quadro E)</t>
  </si>
  <si>
    <t>das novas normas contábeis vigentes no país.</t>
  </si>
  <si>
    <t>são contabilizados como Despesas na rubrica 4.5, Quadros J e K, conforme determinação</t>
  </si>
  <si>
    <t>8. RESULTADO DE EXERCÍCIO  (ORIGINAL  EM  VALORES)</t>
  </si>
  <si>
    <t>8. RESULTADO DE EXERCÍCIO  (DIFERENÇA)</t>
  </si>
  <si>
    <t>9.1 - Pavimento - Manutenção Especial</t>
  </si>
  <si>
    <t>9.2 - Obras de Arte Especiais  - Manutenção Especial</t>
  </si>
  <si>
    <t>9.3 - Dispositivos de Segurança</t>
  </si>
  <si>
    <t>9.4 - Manutenção de Defensas</t>
  </si>
  <si>
    <t>9.5 - Manutenção de Barreiras</t>
  </si>
  <si>
    <t>9.6 - Sinalização</t>
  </si>
  <si>
    <t>9.7 - Sinalização Vertical e Aérea</t>
  </si>
  <si>
    <t>9.8 - Sinalização Horizontal</t>
  </si>
  <si>
    <t>9.9 - Drenagem</t>
  </si>
  <si>
    <t>9.10 - Outros (Cercas e Áreas Verdes)</t>
  </si>
  <si>
    <t>9 - Conserva Especial (Do Ano 03 ao Ano 35)</t>
  </si>
  <si>
    <t>2.1.9. Outros Impostos e Taxas (especificar)</t>
  </si>
  <si>
    <t>2.1.10. Tributos sobre Faturamento</t>
  </si>
  <si>
    <t>2.1.11. CSLL e IR</t>
  </si>
  <si>
    <t>2.1.8. - Conserva Especial (Do Ano 03 ao Ano 35)</t>
  </si>
  <si>
    <t>4.9. Outros Impostos e Taxas (especificar)</t>
  </si>
  <si>
    <t>4.10. Depreciação/Amortização</t>
  </si>
  <si>
    <t>4.8. Conserva Especial (Do Ano 03 ao Ano 35)</t>
  </si>
  <si>
    <t>CONCESSIONÁRIA ROTA DO ATLÂNTICO</t>
  </si>
  <si>
    <t>VPL</t>
  </si>
  <si>
    <t>TBP</t>
  </si>
  <si>
    <t>TIR</t>
  </si>
  <si>
    <t>TPB</t>
  </si>
  <si>
    <t>n/a</t>
  </si>
  <si>
    <t>Remoção de interferências</t>
  </si>
  <si>
    <t>Investigações ambientais</t>
  </si>
  <si>
    <t>Desapropriações</t>
  </si>
  <si>
    <t>2.10</t>
  </si>
  <si>
    <t>2.11</t>
  </si>
  <si>
    <t>2.12</t>
  </si>
  <si>
    <t>2.13</t>
  </si>
  <si>
    <t>Ociosodade Mão de Obra Indireta - Construtora</t>
  </si>
  <si>
    <t>5.5. Mobilização Anterior a Ordem de Serviço</t>
  </si>
  <si>
    <t>Condição da Tarifa</t>
  </si>
  <si>
    <t>TARIFA MÉDIA PONDERADA</t>
  </si>
  <si>
    <t>PERÍODO 1</t>
  </si>
  <si>
    <t>PERÍODO 2</t>
  </si>
  <si>
    <t>VIGÊNCIA</t>
  </si>
  <si>
    <t>Praticada</t>
  </si>
  <si>
    <t>Dias</t>
  </si>
  <si>
    <t>Início</t>
  </si>
  <si>
    <t>Fim</t>
  </si>
  <si>
    <t>Homologada</t>
  </si>
  <si>
    <t>ANO
CONCESSÃO</t>
  </si>
  <si>
    <t>% Rota de Fuga 
(Cocaia)</t>
  </si>
  <si>
    <t>RESUMO PLEITOS CRA</t>
  </si>
  <si>
    <t>QUADRO 0 -  QUADRO DE VIGÊNCIA E PONDERAÇÃO DE TARIFAS</t>
  </si>
  <si>
    <t>Apoio</t>
  </si>
  <si>
    <t>Resultados</t>
  </si>
  <si>
    <t>Premissas</t>
  </si>
  <si>
    <t>Aprovada</t>
  </si>
  <si>
    <t>Ano de Inclusão do Acesso a Cocaia</t>
  </si>
  <si>
    <t>Ano de Realização</t>
  </si>
  <si>
    <t>Ano Contratual</t>
  </si>
  <si>
    <t>% Frustração em dias</t>
  </si>
  <si>
    <t>Período Realizado</t>
  </si>
  <si>
    <t>Data de início da operação</t>
  </si>
  <si>
    <t>Considerar?</t>
  </si>
  <si>
    <t>Verificador Independente</t>
  </si>
  <si>
    <t>Valor base set/10</t>
  </si>
  <si>
    <t>1.1.2. Outras Receitas (Receitas Acessórias)</t>
  </si>
  <si>
    <t>Lista de Opções</t>
  </si>
  <si>
    <t>Ano de Realização da Balança</t>
  </si>
  <si>
    <t>Ano de Realização do Controle de Velocidade</t>
  </si>
  <si>
    <t>3.6. Outras (Aluguel Passarela)</t>
  </si>
  <si>
    <t>PLEITO 1</t>
  </si>
  <si>
    <t>PLEITO 2</t>
  </si>
  <si>
    <t>Ano de inclusão</t>
  </si>
  <si>
    <t>Mês de inclusão</t>
  </si>
  <si>
    <t xml:space="preserve">Peso do Trecho </t>
  </si>
  <si>
    <t>Δ</t>
  </si>
  <si>
    <t>Apresentada</t>
  </si>
  <si>
    <t>Tarifa</t>
  </si>
  <si>
    <t>Tarifa Pleiteada</t>
  </si>
  <si>
    <t>Ano Concessão da Alteração da Tarifa (Início)</t>
  </si>
  <si>
    <t>Data Alteração Tarifa (Início)</t>
  </si>
  <si>
    <t>Ano Concessão da Alteração da Tarifa (Término)</t>
  </si>
  <si>
    <t>Data Alteração Tarifa (Término)</t>
  </si>
  <si>
    <t>9.11 - Reparos no KM 29</t>
  </si>
  <si>
    <t>SÉRIE HISTÓRICA DO IPCA</t>
  </si>
  <si>
    <t>(continua)</t>
  </si>
  <si>
    <t xml:space="preserve">    VARIAÇÃO</t>
  </si>
  <si>
    <t>MÊS</t>
  </si>
  <si>
    <t>NÚMERO ÍNDICE</t>
  </si>
  <si>
    <t>(%)</t>
  </si>
  <si>
    <t>(DEZ 93 = 100)</t>
  </si>
  <si>
    <t>NO</t>
  </si>
  <si>
    <t>MESES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</si>
  <si>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</si>
  <si>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</si>
  <si>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</si>
  <si>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</si>
  <si>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</si>
  <si>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</si>
  <si>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</si>
  <si>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</si>
  <si>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</si>
  <si>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</si>
  <si>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</si>
  <si>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</si>
  <si>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 xml:space="preserve"> </t>
  </si>
  <si>
    <t>(continuação)</t>
  </si>
  <si>
    <t>(conclusão)</t>
  </si>
  <si>
    <t xml:space="preserve">Fonte: IBGE, Diretoria de Pesquisas, Coordenação de Índices de Preços, </t>
  </si>
  <si>
    <t>Sistema Nacional de Índices de Preços ao Consumidor.</t>
  </si>
  <si>
    <t>Reparos KM 29</t>
  </si>
  <si>
    <t>Reequilíbrio 2</t>
  </si>
  <si>
    <t>Reequilíbrio 3</t>
  </si>
  <si>
    <t>TELEMÁTICA DE COCAIA</t>
  </si>
  <si>
    <t>Passarela</t>
  </si>
  <si>
    <t>Sistema de Controle de Velocidade (RADAR)</t>
  </si>
  <si>
    <t>Infraestrutura</t>
  </si>
  <si>
    <t>Equipamentos</t>
  </si>
  <si>
    <t>BALANÇA</t>
  </si>
  <si>
    <t>VERIFICADOR INDEPENDENTE</t>
  </si>
  <si>
    <t>Revisão de Valor</t>
  </si>
  <si>
    <t>CURVA DO BOI</t>
  </si>
  <si>
    <t>Percentual de sazonalidade</t>
  </si>
  <si>
    <t>REGULADOR ECONÔMICO</t>
  </si>
  <si>
    <t>IRT</t>
  </si>
  <si>
    <t>Nominal</t>
  </si>
  <si>
    <t>Real set/10</t>
  </si>
  <si>
    <t>Ano Base</t>
  </si>
  <si>
    <t>DT Pgto</t>
  </si>
  <si>
    <t>Considerar</t>
  </si>
  <si>
    <t>Percentual de perda</t>
  </si>
  <si>
    <t>Proporção início isenção eixo suspenso</t>
  </si>
  <si>
    <t>Fim ano cont.</t>
  </si>
  <si>
    <t>Proporção</t>
  </si>
  <si>
    <t>PERÍODO 3</t>
  </si>
  <si>
    <t>Total Rodovia</t>
  </si>
  <si>
    <t>Cocaia não construído</t>
  </si>
  <si>
    <t>Cocaia 22/09/2015</t>
  </si>
  <si>
    <t>km</t>
  </si>
  <si>
    <t>Ano</t>
  </si>
  <si>
    <t>Variação</t>
  </si>
  <si>
    <t>Redução 12,9km até 22/09/15</t>
  </si>
  <si>
    <t>CONSERVA</t>
  </si>
  <si>
    <t>Início eixo suspenso</t>
  </si>
  <si>
    <t>Fim do ano 7</t>
  </si>
  <si>
    <t>Dias com eixo suspenso ano 7</t>
  </si>
  <si>
    <t>Percentual eixo suspenso ano 7</t>
  </si>
  <si>
    <t>Eixos</t>
  </si>
  <si>
    <t>Total</t>
  </si>
  <si>
    <t>VAB Pgte</t>
  </si>
  <si>
    <t>VEP</t>
  </si>
  <si>
    <t>VAB Eixo Suspenso</t>
  </si>
  <si>
    <t>Qtd Eixo Suspenso</t>
  </si>
  <si>
    <t>% VAB c/ Eixo Susp</t>
  </si>
  <si>
    <t>% VEP c/ Eixo Susp</t>
  </si>
  <si>
    <t>CAT01</t>
  </si>
  <si>
    <t>CAT02</t>
  </si>
  <si>
    <t>CAT03</t>
  </si>
  <si>
    <t>CAT04</t>
  </si>
  <si>
    <t>CAT05</t>
  </si>
  <si>
    <t>CAT06</t>
  </si>
  <si>
    <t>CAT07</t>
  </si>
  <si>
    <t>CAT08</t>
  </si>
  <si>
    <t>CAT09</t>
  </si>
  <si>
    <t>CAT10</t>
  </si>
  <si>
    <t>CAT11</t>
  </si>
  <si>
    <t>CAT12</t>
  </si>
  <si>
    <t>PP01</t>
  </si>
  <si>
    <t>PP02</t>
  </si>
  <si>
    <t>PP03</t>
  </si>
  <si>
    <t>PP04</t>
  </si>
  <si>
    <t>PP05</t>
  </si>
  <si>
    <t>Final</t>
  </si>
  <si>
    <t>Inícial</t>
  </si>
  <si>
    <t>Alíquota</t>
  </si>
  <si>
    <t>Tributo</t>
  </si>
  <si>
    <t>R$ a PI</t>
  </si>
  <si>
    <t>Período</t>
  </si>
  <si>
    <t>RECEITA ACESSÓRIA  -  CONVERSÃO ANO DE CONCESSÃO</t>
  </si>
  <si>
    <t/>
  </si>
  <si>
    <t>Dez</t>
  </si>
  <si>
    <t>Nov</t>
  </si>
  <si>
    <t>Out</t>
  </si>
  <si>
    <t>Set</t>
  </si>
  <si>
    <t>Ago</t>
  </si>
  <si>
    <t>Jul</t>
  </si>
  <si>
    <t>Jun</t>
  </si>
  <si>
    <t>Mai</t>
  </si>
  <si>
    <t>Abr</t>
  </si>
  <si>
    <t>Mar</t>
  </si>
  <si>
    <t>Fev</t>
  </si>
  <si>
    <t>Jan</t>
  </si>
  <si>
    <t>R$ PI</t>
  </si>
  <si>
    <t>%</t>
  </si>
  <si>
    <t>Líquida</t>
  </si>
  <si>
    <t>Impostos</t>
  </si>
  <si>
    <t>Bruta</t>
  </si>
  <si>
    <t>Mês</t>
  </si>
  <si>
    <t>Receita Líquida
a Ser Convertida</t>
  </si>
  <si>
    <t>Receita Líquida</t>
  </si>
  <si>
    <t>Valores Históricos</t>
  </si>
  <si>
    <t>DEMONSTRATIVO ANO CIVIL</t>
  </si>
  <si>
    <t>QUADRO AUX2 - DEMONTRATIVO RECEITAS ACESSÓRIA</t>
  </si>
  <si>
    <t>Levantamento eixo suspenso (Pleito 4)</t>
  </si>
  <si>
    <t>Investimento Curva do Boi (Pleito 5)</t>
  </si>
  <si>
    <t>Pleito 3</t>
  </si>
  <si>
    <t>1A - Perda de Receita (Trecho 5 - Acesso a Ilha de Cocaia)</t>
  </si>
  <si>
    <t>1B - Receitas Acessórias</t>
  </si>
  <si>
    <t>1D - Obras de Correção do Greide nas OAE´s</t>
  </si>
  <si>
    <t>1E(i) Controle de Velocidade (Radar)</t>
  </si>
  <si>
    <t>1E(ii) Estação Metereológica (EM)</t>
  </si>
  <si>
    <t>1E(iii) Painéis de Mensagens Variáveis Móveis (PMV-Móvel)</t>
  </si>
  <si>
    <t>1E (iv) Telemática (Trecho 5 - Acesso a Ilha de Cocaia)</t>
  </si>
  <si>
    <t>1E(v) Contadores de Tráfego</t>
  </si>
  <si>
    <t>1E(vi) Sistema de Pesagem - Balanças Móveis (Equipamentos)</t>
  </si>
  <si>
    <t>1E(vi) Sistema de Pesagem - Balanças Móveis (Implantação)</t>
  </si>
  <si>
    <t>1E(vi) Sistema de Pesagem - Balanças Móveis - Operação (M.O.)</t>
  </si>
  <si>
    <t>1E(vii) Verificador Independente</t>
  </si>
  <si>
    <t>1F(i) Revisor Independente</t>
  </si>
  <si>
    <t>1F(ii) Verba para Polícia Rodoviária Militar (VPRM)</t>
  </si>
  <si>
    <t>1F(iii) Conservação de Rotina  (Trecho 5 - Acesso a Ilha de Cocaia)</t>
  </si>
  <si>
    <t>1F(iv) Painéis de Mensagens Variáveis Fixos (PMV - Fixo)</t>
  </si>
  <si>
    <t>1F(v) Reformulação dos Projetos Executivos (Ajuste entre linhas)</t>
  </si>
  <si>
    <t>QDD</t>
  </si>
  <si>
    <t>QDE</t>
  </si>
  <si>
    <t>1.5</t>
  </si>
  <si>
    <t>Referência</t>
  </si>
  <si>
    <t>ABA</t>
  </si>
  <si>
    <t>ITEM</t>
  </si>
  <si>
    <t>8.2. Verificador Independente</t>
  </si>
  <si>
    <t>8.2</t>
  </si>
  <si>
    <t>Referência / Ano</t>
  </si>
  <si>
    <t>Aditivo 1</t>
  </si>
  <si>
    <t>Aditivo 2</t>
  </si>
  <si>
    <t>Pleito 6</t>
  </si>
  <si>
    <t>Aditivo 3 (Pleitos 3, 4 e 5)</t>
  </si>
  <si>
    <t>Maio</t>
  </si>
  <si>
    <t>Junho</t>
  </si>
  <si>
    <t>Julho</t>
  </si>
  <si>
    <t>Maio-Julho</t>
  </si>
  <si>
    <t>Agosto</t>
  </si>
  <si>
    <t>Setembro</t>
  </si>
  <si>
    <t>Outubro</t>
  </si>
  <si>
    <t>Novembro</t>
  </si>
  <si>
    <t>Dezembro</t>
  </si>
  <si>
    <t>Janeiro</t>
  </si>
  <si>
    <t>Fevereiro</t>
  </si>
  <si>
    <t>Março</t>
  </si>
  <si>
    <t>Abril</t>
  </si>
  <si>
    <t xml:space="preserve">TOTAL </t>
  </si>
  <si>
    <t>Realizado</t>
  </si>
  <si>
    <t>VEQ</t>
  </si>
  <si>
    <t>Eixo Suspenso</t>
  </si>
  <si>
    <t>% de queda</t>
  </si>
  <si>
    <t>Com o percentual do reequilíbrio</t>
  </si>
  <si>
    <t>% de Reequilíbrio</t>
  </si>
  <si>
    <t>VEP com % Reequilíbrio</t>
  </si>
  <si>
    <t>Postergação</t>
  </si>
  <si>
    <t>Inclusão</t>
  </si>
  <si>
    <t>Var. veículos Reequilíbrio x Real</t>
  </si>
  <si>
    <t>Concessionária Rota do Atlântico S.A.</t>
  </si>
  <si>
    <t>Valores em R$</t>
  </si>
  <si>
    <t>RESUMO IMPACTOS</t>
  </si>
  <si>
    <t>ΔTBP</t>
  </si>
  <si>
    <t>SDS Aditivo 3</t>
  </si>
  <si>
    <t>SDS Pleito 6</t>
  </si>
  <si>
    <t>Redução 5,5km de 22/09/15 até ano 9</t>
  </si>
  <si>
    <t>Concaia</t>
  </si>
  <si>
    <t>Custeio Aditivo 2</t>
  </si>
  <si>
    <t>Custeio final</t>
  </si>
  <si>
    <t>Perda de Receita Covid-19</t>
  </si>
  <si>
    <t>Ano 9</t>
  </si>
  <si>
    <t>Crescimento do Tráfego 20x19</t>
  </si>
  <si>
    <t>Ofício</t>
  </si>
  <si>
    <t>Medição</t>
  </si>
  <si>
    <t>Competência</t>
  </si>
  <si>
    <t>Recebimento</t>
  </si>
  <si>
    <t>Vencimento Original</t>
  </si>
  <si>
    <t>Valor (R$)</t>
  </si>
  <si>
    <t>Revisor Independente</t>
  </si>
  <si>
    <t>26/2020</t>
  </si>
  <si>
    <t>37/2020</t>
  </si>
  <si>
    <t>53/2020</t>
  </si>
  <si>
    <t>56/2020</t>
  </si>
  <si>
    <t>28/2020</t>
  </si>
  <si>
    <t>36/2020</t>
  </si>
  <si>
    <t>38/2020</t>
  </si>
  <si>
    <t>Reajuste 2º T. A.</t>
  </si>
  <si>
    <t>54/2020</t>
  </si>
  <si>
    <t>55/2020</t>
  </si>
  <si>
    <t>Postergações V.I. e R.E.</t>
  </si>
  <si>
    <t>Ano 7</t>
  </si>
  <si>
    <t>Ano 8</t>
  </si>
  <si>
    <t>Percentual perda Eixo Suspenso</t>
  </si>
  <si>
    <t>Percentual considerado</t>
  </si>
  <si>
    <t>Reprogramação de Investimento - Balanças</t>
  </si>
  <si>
    <t>Vencimentos Acordados</t>
  </si>
  <si>
    <t>63/2020</t>
  </si>
  <si>
    <t>Ano 10</t>
  </si>
  <si>
    <t>Ano9</t>
  </si>
  <si>
    <t>Ano 10 (@Set/10)</t>
  </si>
  <si>
    <t>Total ano 10</t>
  </si>
  <si>
    <t>Total ano 10 (x mil)</t>
  </si>
  <si>
    <t>3.7. Despesas com cartão</t>
  </si>
  <si>
    <t>Reequilíbrio - Pleito 6</t>
  </si>
  <si>
    <t>Pleito 7</t>
  </si>
  <si>
    <t>Aditivo 4 (Pleito 6)</t>
  </si>
  <si>
    <t>Entrada em 04/01/2024</t>
  </si>
  <si>
    <t>PLEITO 7</t>
  </si>
  <si>
    <t>Aditivo 6</t>
  </si>
  <si>
    <t>Quadro variações TBP Aditivo 6 &gt; Pleito 7</t>
  </si>
  <si>
    <t>Reprogramação da Curva do Boi</t>
  </si>
  <si>
    <t>Pleito 8</t>
  </si>
  <si>
    <t xml:space="preserve">TIPO </t>
  </si>
  <si>
    <t xml:space="preserve">NF </t>
  </si>
  <si>
    <t xml:space="preserve">HISTÓRICO </t>
  </si>
  <si>
    <t xml:space="preserve">EMISSAO </t>
  </si>
  <si>
    <t xml:space="preserve">VENCTO </t>
  </si>
  <si>
    <t xml:space="preserve">BAIXA </t>
  </si>
  <si>
    <t xml:space="preserve">VL. ORIGINAL </t>
  </si>
  <si>
    <t xml:space="preserve">VL. BAIXADO BANCO </t>
  </si>
  <si>
    <t>FORNECEDOR</t>
  </si>
  <si>
    <t>MÊS/ANO</t>
  </si>
  <si>
    <t xml:space="preserve">00007203/01 </t>
  </si>
  <si>
    <t xml:space="preserve">CT 023/2017 REF SERV PREST DE 17 A 31/07/2017. </t>
  </si>
  <si>
    <t xml:space="preserve">TPF ENGENHARIA LTDA </t>
  </si>
  <si>
    <t xml:space="preserve">00007202/01 </t>
  </si>
  <si>
    <t xml:space="preserve">00001749/01 </t>
  </si>
  <si>
    <t xml:space="preserve">ECR ENGENHARIA LTDA </t>
  </si>
  <si>
    <t xml:space="preserve">00001750/01 </t>
  </si>
  <si>
    <t xml:space="preserve">00007230/01 </t>
  </si>
  <si>
    <t xml:space="preserve">CT 023/2017 REF 2ª MEDIÇÃO, DE 01 A 31/08/2017. </t>
  </si>
  <si>
    <t xml:space="preserve">00007231/01 </t>
  </si>
  <si>
    <t xml:space="preserve">00001817/01 </t>
  </si>
  <si>
    <t xml:space="preserve">00001818/01 </t>
  </si>
  <si>
    <t xml:space="preserve">00007351/01 </t>
  </si>
  <si>
    <t xml:space="preserve">CT 023/2017 REF SERV PREST DE 01 A 30/09/2017. </t>
  </si>
  <si>
    <t xml:space="preserve">00007350/01 </t>
  </si>
  <si>
    <t xml:space="preserve">00001830/01 </t>
  </si>
  <si>
    <t xml:space="preserve">00001831/01 </t>
  </si>
  <si>
    <t xml:space="preserve">00007542/01 </t>
  </si>
  <si>
    <t xml:space="preserve">CT 023/2017 REF 4ª MEDIÇÃO, DE 01 A 31/10/2017. </t>
  </si>
  <si>
    <t xml:space="preserve">00007543/01 </t>
  </si>
  <si>
    <t xml:space="preserve">00001853/01 </t>
  </si>
  <si>
    <t xml:space="preserve">00001852/01 </t>
  </si>
  <si>
    <t xml:space="preserve">CT 023/2017 REF SERV PREST DE 01 A 31/10/2017. </t>
  </si>
  <si>
    <t xml:space="preserve">00007593/01 </t>
  </si>
  <si>
    <t xml:space="preserve">CT 023/2017 REF 5ª MEDIÇÃO, DE 01 A 30/11/2017. </t>
  </si>
  <si>
    <t xml:space="preserve">00007594/01 </t>
  </si>
  <si>
    <t xml:space="preserve">00007595/01 </t>
  </si>
  <si>
    <t xml:space="preserve">CT 023/2017 REF SERV PREST DE 01 A 31/12/2017. </t>
  </si>
  <si>
    <t xml:space="preserve">00007596/01 </t>
  </si>
  <si>
    <t xml:space="preserve">00001869/01 </t>
  </si>
  <si>
    <t xml:space="preserve">00001868/01 </t>
  </si>
  <si>
    <t xml:space="preserve">00001870/01 </t>
  </si>
  <si>
    <t xml:space="preserve">00001871/01 </t>
  </si>
  <si>
    <t xml:space="preserve">00007680/01 </t>
  </si>
  <si>
    <t xml:space="preserve">CT 023/2017 REF 7ª MEDIÇÃO, DE 01 A 31/01/2018. </t>
  </si>
  <si>
    <t xml:space="preserve">00007681/01 </t>
  </si>
  <si>
    <t xml:space="preserve">00001890/01 </t>
  </si>
  <si>
    <t xml:space="preserve">00001889/01 </t>
  </si>
  <si>
    <t xml:space="preserve">00007754/01 </t>
  </si>
  <si>
    <t xml:space="preserve">CT 023/2017 REF 8ª MEDIÇÃO, DE 01 A 28/02/2018. </t>
  </si>
  <si>
    <t xml:space="preserve">00007755/01 </t>
  </si>
  <si>
    <t xml:space="preserve">CT 023/2017 REF 8ª MEDIÇÃO, DE 01 A 8/02/2018. </t>
  </si>
  <si>
    <t xml:space="preserve">00001906/01 </t>
  </si>
  <si>
    <t xml:space="preserve">CT 023/2017 REF 8ª MAEDIÇÃO, DE 01 A 28/02/2018. </t>
  </si>
  <si>
    <t xml:space="preserve">00001907/01 </t>
  </si>
  <si>
    <t xml:space="preserve">CT 023/2017 RF 8ª MEDIÇÃO, DE 01 A 28/02/2018. </t>
  </si>
  <si>
    <t xml:space="preserve">00007812/01 </t>
  </si>
  <si>
    <t xml:space="preserve">CT 023/2017 REF 9ª MEDIÇÃO, DE 01 A 31/03/2018. </t>
  </si>
  <si>
    <t xml:space="preserve">00007813/01 </t>
  </si>
  <si>
    <t xml:space="preserve">00001924/01 </t>
  </si>
  <si>
    <t xml:space="preserve">00001925/01 </t>
  </si>
  <si>
    <t xml:space="preserve">00007915/01 </t>
  </si>
  <si>
    <t xml:space="preserve">CT 023/2017 REF 10ª MEDIÇÃO, DE 01 A 30/04/2018. </t>
  </si>
  <si>
    <t xml:space="preserve">00007916/01 </t>
  </si>
  <si>
    <t xml:space="preserve">00001991/01 </t>
  </si>
  <si>
    <t xml:space="preserve">00001992/01 </t>
  </si>
  <si>
    <t xml:space="preserve">00008007/01 </t>
  </si>
  <si>
    <t xml:space="preserve">CT. 023/2017 PERÍODO REFERENTE 01/05/2018 A  31/05/2018 </t>
  </si>
  <si>
    <t xml:space="preserve">00008008/01 </t>
  </si>
  <si>
    <t xml:space="preserve">00002050/01 </t>
  </si>
  <si>
    <t xml:space="preserve">CT. 023/2017 PERÍODO REFERENTE 01/05/2018 A 31/05/2018 </t>
  </si>
  <si>
    <t xml:space="preserve">00002051/01 </t>
  </si>
  <si>
    <t xml:space="preserve">00009318/01 </t>
  </si>
  <si>
    <t xml:space="preserve">CT 010/2018 REF 1º RELATÓRIO PARCIAL, DE 05/03 A  04/04/2018. </t>
  </si>
  <si>
    <t xml:space="preserve">00008078/01 </t>
  </si>
  <si>
    <t xml:space="preserve">CT 023/2017 REF 12ª MEDIÇÃO, DE 01/06 A 16/07/2018.  </t>
  </si>
  <si>
    <t xml:space="preserve">00008079/01 </t>
  </si>
  <si>
    <t xml:space="preserve">00002091/01 </t>
  </si>
  <si>
    <t xml:space="preserve">CT 023/2017 REF REAJUSTAMENTO 12ª MEDIÇÃO, DE  01/06 A 16/07/2018. </t>
  </si>
  <si>
    <t xml:space="preserve">00002092/01 </t>
  </si>
  <si>
    <t xml:space="preserve">00009357/01 </t>
  </si>
  <si>
    <t xml:space="preserve">CT 010/2018 REF SERV PREST DE 05/03 A 04/04/2018. </t>
  </si>
  <si>
    <t xml:space="preserve">00008410/01 </t>
  </si>
  <si>
    <t xml:space="preserve">CT 023/2017 REF 13ª MEDIÇÃO, DE 17/07 A 31/08/2018.  </t>
  </si>
  <si>
    <t xml:space="preserve">00008411/01 </t>
  </si>
  <si>
    <t xml:space="preserve">00008417/01 </t>
  </si>
  <si>
    <t xml:space="preserve">CT 023/2017 REF REAJUSTE 13ª MEDIÇÃO, DE 17/07 A   31/08/2018. </t>
  </si>
  <si>
    <t xml:space="preserve">00008414/01 </t>
  </si>
  <si>
    <t xml:space="preserve">00008416/01 </t>
  </si>
  <si>
    <t xml:space="preserve">CT 023/2017 REF REAJUSTE 14ª MEDIÇÃO, DE 01 A  30/09/2018. </t>
  </si>
  <si>
    <t xml:space="preserve">00008415/01 </t>
  </si>
  <si>
    <t xml:space="preserve">00008413/01 </t>
  </si>
  <si>
    <t xml:space="preserve">CT 023/2017 REF 14ª MEDIÇÃO, DE 01 A 30/09/2018. </t>
  </si>
  <si>
    <t xml:space="preserve">00008412/01 </t>
  </si>
  <si>
    <t xml:space="preserve">00002297/01 </t>
  </si>
  <si>
    <t xml:space="preserve">CT 023/2017 REF 13ª MEDIÇÃO, DE 17/07 A 31/08/2018. </t>
  </si>
  <si>
    <t xml:space="preserve">00002299/01 </t>
  </si>
  <si>
    <t xml:space="preserve">CT 023/2017 REF REAJUSTAMENTO 13ª MEDIÇÃO, DE  17/07 A 31/08/2018. </t>
  </si>
  <si>
    <t xml:space="preserve">00002300/01 </t>
  </si>
  <si>
    <t>CT 023/2017 REF REAJUSTE 13ª MEDIÇÃO, DE 17/07 A  31/08/2018.</t>
  </si>
  <si>
    <t xml:space="preserve">00002298/01 </t>
  </si>
  <si>
    <t xml:space="preserve">00002304/01 </t>
  </si>
  <si>
    <t xml:space="preserve">CT 023/2017 REF REAJUSTAMENTO 14ª MEDIÇÃO, DE  01 A 30/09/2018. </t>
  </si>
  <si>
    <t xml:space="preserve">00002303/01 </t>
  </si>
  <si>
    <t xml:space="preserve">00002302/01 </t>
  </si>
  <si>
    <t xml:space="preserve">00002301/01 </t>
  </si>
  <si>
    <t xml:space="preserve">00002462/01 </t>
  </si>
  <si>
    <t xml:space="preserve">CT 023/2017 REF 15ª MEDIÇÃO. DE 01 A 31/10/2018. </t>
  </si>
  <si>
    <t xml:space="preserve">00002463/01 </t>
  </si>
  <si>
    <t xml:space="preserve">00002464/01 </t>
  </si>
  <si>
    <t xml:space="preserve">CT 023/2017 REF REAJUSTAMENTO 15ª MEDIÇÃO. DE  01 A 31/10/2018. </t>
  </si>
  <si>
    <t xml:space="preserve">00002465/01 </t>
  </si>
  <si>
    <t xml:space="preserve">00008583/01 </t>
  </si>
  <si>
    <t xml:space="preserve">00008585/01 </t>
  </si>
  <si>
    <t xml:space="preserve">00008586/01 </t>
  </si>
  <si>
    <t xml:space="preserve">CT 023/2017 REF REAJUSTAMENTO 15ª MEDIÇÃO. DE   01 A 31/10/2018. </t>
  </si>
  <si>
    <t xml:space="preserve">00008587/01 </t>
  </si>
  <si>
    <t xml:space="preserve">00008686/01 </t>
  </si>
  <si>
    <t xml:space="preserve">CT 023/2017 REF 17ª MEDIÇÃO, DE 01 A 31/12/2018. </t>
  </si>
  <si>
    <t xml:space="preserve">00008685/01 </t>
  </si>
  <si>
    <t xml:space="preserve">CT 023/2017 REF REAJUSTAMENTO 17ª MEDIÇÃO, DE   01 A 31/12/2018. </t>
  </si>
  <si>
    <t xml:space="preserve">00008682/01 </t>
  </si>
  <si>
    <t xml:space="preserve">00008680/01 </t>
  </si>
  <si>
    <t xml:space="preserve">CT 023/2017 REF REAJUSTAMENTO 17ª MEDIÇÃO, DE 01 A 31/12/2018.    </t>
  </si>
  <si>
    <t xml:space="preserve">00002527/01 </t>
  </si>
  <si>
    <t xml:space="preserve">CT 023/2017 REF REAJUSTAMENTO 17ª MEDIÇÃO, DE  01 A 31/12/2018. </t>
  </si>
  <si>
    <t xml:space="preserve">00002526/01 </t>
  </si>
  <si>
    <t xml:space="preserve">00002525/01 </t>
  </si>
  <si>
    <t xml:space="preserve">00002524/01 </t>
  </si>
  <si>
    <t xml:space="preserve">00009373/01 </t>
  </si>
  <si>
    <t xml:space="preserve">CT 010/2018 REF PRODUTO 03, DE 18/11 A 17/12/2018. </t>
  </si>
  <si>
    <t xml:space="preserve">NFT </t>
  </si>
  <si>
    <t xml:space="preserve">00008848/01 </t>
  </si>
  <si>
    <t xml:space="preserve">CT 023/2017 REF 16ª MEDIÇÃO, DE 01 A 30/11/2018. </t>
  </si>
  <si>
    <t xml:space="preserve">00008847/01 </t>
  </si>
  <si>
    <t xml:space="preserve">00008846/01 </t>
  </si>
  <si>
    <t xml:space="preserve">CT 023/2017 REF REAJUSTAMENTO 16ª MEDIÇÃO, DE   01 A 30/11/2018. </t>
  </si>
  <si>
    <t xml:space="preserve">CT 023/2017 REF REAJUSTAMENTO 16ª MEDIÇÃO, DE 01 A 30/11/2018. </t>
  </si>
  <si>
    <t xml:space="preserve">00002614/01 </t>
  </si>
  <si>
    <t xml:space="preserve">CT 023/2017 REF REAJUSTAMENTO 16ª MEDIÇÃO, DE  01 A 30/11/2019. </t>
  </si>
  <si>
    <t xml:space="preserve">00002613/01 </t>
  </si>
  <si>
    <t xml:space="preserve">CT 023/2017 REF REAJUSTAMENTO 16ª MEDIÇÃO, DE  01 A 30/11/2018. </t>
  </si>
  <si>
    <t xml:space="preserve">00002612/01 </t>
  </si>
  <si>
    <t xml:space="preserve">00002611/01 </t>
  </si>
  <si>
    <t xml:space="preserve">0000887301 </t>
  </si>
  <si>
    <t xml:space="preserve">CT 023/2017 REF REAJUSTAMENTO 18ª MEDIÇÃO, DE   01 A 31/01/2019. </t>
  </si>
  <si>
    <t xml:space="preserve">0000887501 </t>
  </si>
  <si>
    <t xml:space="preserve">CT 023/2017 REF 18ª MEDIÇÃO, DE 01 A 31/01/2019. </t>
  </si>
  <si>
    <t xml:space="preserve">CT 023/2017 REF REAJUSTAMENTO 18ª MEDIÇÃO, DE 01 A 31/01/2019.   </t>
  </si>
  <si>
    <t xml:space="preserve">0000887701 </t>
  </si>
  <si>
    <t xml:space="preserve">CT 023/2017 REF 19ª MEDIÇÃO, DE 01 A 28/02/2019. </t>
  </si>
  <si>
    <t xml:space="preserve">0000887801 </t>
  </si>
  <si>
    <t xml:space="preserve">CT 023/2017 REF REAJUSTAMENTO 19ª MEDIÇÃO, DE   01 A 28/02/2019. </t>
  </si>
  <si>
    <t xml:space="preserve">0000888001 </t>
  </si>
  <si>
    <t xml:space="preserve">CT 023/2017 REF REAJUSTE 19ª MEDIÇÃO, DE 01 A  28/02/2019. </t>
  </si>
  <si>
    <t xml:space="preserve">0000889401 </t>
  </si>
  <si>
    <t xml:space="preserve">0000266801 </t>
  </si>
  <si>
    <t xml:space="preserve">0000266901 </t>
  </si>
  <si>
    <t xml:space="preserve">CT 023/2017 REF REAJUSTAMENTO 18ª MEDIÇÃO, DE 01 A 31/01/2019. </t>
  </si>
  <si>
    <t xml:space="preserve">0000267201 </t>
  </si>
  <si>
    <t xml:space="preserve">0000267301 </t>
  </si>
  <si>
    <t xml:space="preserve">0000267401 </t>
  </si>
  <si>
    <t xml:space="preserve">0000267501 </t>
  </si>
  <si>
    <t xml:space="preserve">CT 023/2017 REF 1REAJUSTE 9ª MEDIÇÃO, DE 01 A  28/02/2019. </t>
  </si>
  <si>
    <t>NFT</t>
  </si>
  <si>
    <t>00008985/01</t>
  </si>
  <si>
    <t xml:space="preserve">CT 023/2017 REF REAJUSTE 20ª MEDIÇÃO, DE 01 A  31/03/2019. </t>
  </si>
  <si>
    <t>00008986/01</t>
  </si>
  <si>
    <t xml:space="preserve">CT 023/2017 REF 20ª MEDIÇÃO, DE 01 A 31/03/2019. </t>
  </si>
  <si>
    <t>00008987/01</t>
  </si>
  <si>
    <t>00008988/01</t>
  </si>
  <si>
    <t xml:space="preserve">CT 023/2017 REF REAJUSTAMENTO 20ª MEDIÇÃO, DE   01 A 31/03/2019. </t>
  </si>
  <si>
    <t>00002707/01</t>
  </si>
  <si>
    <t>00002708/01</t>
  </si>
  <si>
    <t xml:space="preserve">00002709/01 </t>
  </si>
  <si>
    <t xml:space="preserve">CT 023/2017 REF REAJUSTAMENTO 20ª MEDIÇÃO, DE  01 A 31/03/2019. </t>
  </si>
  <si>
    <t xml:space="preserve">00002710/01 </t>
  </si>
  <si>
    <t>00009024/01</t>
  </si>
  <si>
    <t xml:space="preserve">CT 023/2017 REF REAJUSTE 21ª MEDIÇÃO, DE 01 A  </t>
  </si>
  <si>
    <t>00009025/01</t>
  </si>
  <si>
    <t xml:space="preserve">CT 023/2017 REF 21ª MEDIÇÃO, DE 01 A 30/04/2019. </t>
  </si>
  <si>
    <t>00009026/01</t>
  </si>
  <si>
    <t>00009027/01</t>
  </si>
  <si>
    <t xml:space="preserve">00002734/01 </t>
  </si>
  <si>
    <t xml:space="preserve">00002735/01 </t>
  </si>
  <si>
    <t xml:space="preserve">00002736/01 </t>
  </si>
  <si>
    <t xml:space="preserve">CT 023/2017 REF REAJUSTE 21ª MEDIÇÃO, DE 01 A  30/04/2019. </t>
  </si>
  <si>
    <t xml:space="preserve">00002737/01 </t>
  </si>
  <si>
    <t xml:space="preserve">00009425/01 </t>
  </si>
  <si>
    <t xml:space="preserve">REF Á PRESTAÇÃO DE SERVIÇOS ESPECIALIZADOS 1º  TERMO ADITIVO. </t>
  </si>
  <si>
    <t>00009096/01</t>
  </si>
  <si>
    <t xml:space="preserve">CT 023/2017 REF 22ª MEDIÇÃO, DE 01 A 31/05/2019. </t>
  </si>
  <si>
    <t>00009097/01</t>
  </si>
  <si>
    <t>00009098/01</t>
  </si>
  <si>
    <t xml:space="preserve">CT 023/2017 REF REAJUSTE 22ª MEDIÇÃO, DE 01 A  </t>
  </si>
  <si>
    <t>00009099/01</t>
  </si>
  <si>
    <t xml:space="preserve">00002817/01 </t>
  </si>
  <si>
    <t xml:space="preserve">00002818/01 </t>
  </si>
  <si>
    <t xml:space="preserve">00002819/01 </t>
  </si>
  <si>
    <t xml:space="preserve">CT 023/2017 REF REAJUSTAMENTO 22ª MEDIÇÃO, DE 01 A 31/05/2019. </t>
  </si>
  <si>
    <t xml:space="preserve">00002820/01 </t>
  </si>
  <si>
    <t>00009167/01</t>
  </si>
  <si>
    <t xml:space="preserve">CT 023/2017 REF 23ª MEDIÇÃO, DE 01 A 30/06/2019. </t>
  </si>
  <si>
    <t>00009168/01</t>
  </si>
  <si>
    <t xml:space="preserve">CT 023/2017 REF REAJUSTE 23ª MEDIÇÃO, DE 01 A  30/06/2019. </t>
  </si>
  <si>
    <t>00009169/01</t>
  </si>
  <si>
    <t>00009170/01</t>
  </si>
  <si>
    <t xml:space="preserve">00002860/01 </t>
  </si>
  <si>
    <t xml:space="preserve">00002861/01 </t>
  </si>
  <si>
    <t>00002862/01</t>
  </si>
  <si>
    <t xml:space="preserve">CT 023/2017 REF REAJUSTAMENTO 23ª MEDIÇÃO, DE 01 A 30/06/2019.  </t>
  </si>
  <si>
    <t xml:space="preserve">00002863/01 </t>
  </si>
  <si>
    <t xml:space="preserve">CT 023/2017 REF REAJUSTAMENTO 23ª MEDIÇÃO, DE  01 A 30/06/2019. </t>
  </si>
  <si>
    <t>00009300/01</t>
  </si>
  <si>
    <t xml:space="preserve">CT 023/2017 REF 24ª MEDIÇÃO, DE 01 A 31/07/2019. </t>
  </si>
  <si>
    <t>00009301/01</t>
  </si>
  <si>
    <t>00009302/01</t>
  </si>
  <si>
    <t xml:space="preserve">CT 023/2017 REF REAJUSTE 24ª MEDIÇÃO, DE 01 A  31/07/2019. </t>
  </si>
  <si>
    <t>00009303/01</t>
  </si>
  <si>
    <t xml:space="preserve">00002922/01 </t>
  </si>
  <si>
    <t xml:space="preserve">00002923/01 </t>
  </si>
  <si>
    <t xml:space="preserve">00002924/01 </t>
  </si>
  <si>
    <t xml:space="preserve">00002925/01 </t>
  </si>
  <si>
    <t>CT 023/2017 REF REAJUSTE 24ª MEDIÇÃO, DE 01 A  31/07/2019.</t>
  </si>
  <si>
    <t xml:space="preserve">00009443/01 </t>
  </si>
  <si>
    <t xml:space="preserve">CT 010/2018 REF SERV PREST DE 29/07 A 04/10/2019. </t>
  </si>
  <si>
    <t xml:space="preserve">0000298901 </t>
  </si>
  <si>
    <t xml:space="preserve">CT 023/2017 REF 25ª MEDIÇÃO, DE 01 A 31/08/2019. </t>
  </si>
  <si>
    <t xml:space="preserve">0000299001 </t>
  </si>
  <si>
    <t xml:space="preserve">0000299101 </t>
  </si>
  <si>
    <t xml:space="preserve">0000299201 </t>
  </si>
  <si>
    <t xml:space="preserve">0000950001 </t>
  </si>
  <si>
    <t xml:space="preserve">0000950101 </t>
  </si>
  <si>
    <t xml:space="preserve">0000950201 </t>
  </si>
  <si>
    <t xml:space="preserve">0000950301 </t>
  </si>
  <si>
    <t xml:space="preserve">00009455/01 </t>
  </si>
  <si>
    <t xml:space="preserve">CT 010/2018 REF SERV PREST DE 01/10 A 29/11/2019. </t>
  </si>
  <si>
    <t xml:space="preserve">0000959201 </t>
  </si>
  <si>
    <t xml:space="preserve">CT 023/2017 REF 26ª MEDIÇÃO, DE 01 A 30/09/2019. </t>
  </si>
  <si>
    <t xml:space="preserve">0000959301 </t>
  </si>
  <si>
    <t xml:space="preserve">CT 023/2017 REF REAJUSTE 26ª MEDIÇÃO, DE 01 A  30/09/2019. </t>
  </si>
  <si>
    <t xml:space="preserve">0000959401 </t>
  </si>
  <si>
    <t xml:space="preserve">0000959501 </t>
  </si>
  <si>
    <t xml:space="preserve">0000305301 </t>
  </si>
  <si>
    <t xml:space="preserve">0000305401 </t>
  </si>
  <si>
    <t xml:space="preserve">0000305501 </t>
  </si>
  <si>
    <t xml:space="preserve">0000305601 </t>
  </si>
  <si>
    <t xml:space="preserve">0000975101 </t>
  </si>
  <si>
    <t xml:space="preserve">CT 023/2017 REF 27ª MEDIÇÃO, DE 01 A 31/10/2019. </t>
  </si>
  <si>
    <t xml:space="preserve">0000975201 </t>
  </si>
  <si>
    <t xml:space="preserve">0000975301 </t>
  </si>
  <si>
    <t xml:space="preserve">CT 023/2017 REF REAJUSTE 27ª MEDIÇÃO, DE 01 A  31/10/2019. </t>
  </si>
  <si>
    <t xml:space="preserve">0000975401 </t>
  </si>
  <si>
    <t xml:space="preserve">0000311501 </t>
  </si>
  <si>
    <t xml:space="preserve">0000311601 </t>
  </si>
  <si>
    <t xml:space="preserve">0000311701 </t>
  </si>
  <si>
    <t xml:space="preserve">0000311801 </t>
  </si>
  <si>
    <t xml:space="preserve">0000984401 </t>
  </si>
  <si>
    <t xml:space="preserve">CT 023/2017 REF 28ª MEDIÇÃO, DE 01 A 30/11/2019. </t>
  </si>
  <si>
    <t xml:space="preserve">CT 023/2017 REF REAJUSTAMENTO 28ª MEDIÇÃO, DE 01 A 30/11/2019.   </t>
  </si>
  <si>
    <t xml:space="preserve">0000984601 </t>
  </si>
  <si>
    <t xml:space="preserve">0000984701 </t>
  </si>
  <si>
    <t xml:space="preserve">0000317101 </t>
  </si>
  <si>
    <t xml:space="preserve">0000317201 </t>
  </si>
  <si>
    <t xml:space="preserve">CT 023/2017 REF REAJUSTAMENTO 28ª MEDIÇÃO, DE  01/02/2020 01 A 30/11/2019. </t>
  </si>
  <si>
    <t xml:space="preserve">CT 023/2017 REF REAJUSTAMENTO 28ª MEDIÇÃO, DE   01 A 30/11/2019. </t>
  </si>
  <si>
    <t xml:space="preserve">0000992601 </t>
  </si>
  <si>
    <t xml:space="preserve">CT 023/2017 REF 29ª MEDIÇÃO, DE 01 A 31/12/2019. </t>
  </si>
  <si>
    <t xml:space="preserve">CT 023/2017 REF REAJUSTAMENTO 29ª MEDIÇÃO, DE 01 A 31/12/2019.   </t>
  </si>
  <si>
    <t xml:space="preserve">0000992801 </t>
  </si>
  <si>
    <t xml:space="preserve">0000992901 </t>
  </si>
  <si>
    <t xml:space="preserve">CT 023/2017 REF REAJUSTE 29ª MEDIÇÃO, DE 01 A  31/12/2019. </t>
  </si>
  <si>
    <t xml:space="preserve">CT 023/2017 REF REAJUSTAMENTO 29ª MEDIÇÃO, DE  01 A 31/12/2019. </t>
  </si>
  <si>
    <t xml:space="preserve">CT 023/2017 REF REAJUSTAMENTO 29ª MEDIÇÃO, DE 01 A 31/12/2019.    </t>
  </si>
  <si>
    <t xml:space="preserve">0000994501 </t>
  </si>
  <si>
    <t xml:space="preserve">CT 023/2017 REF SERV PREST DE 01 A 31/01/2020. </t>
  </si>
  <si>
    <t xml:space="preserve">0000994601 </t>
  </si>
  <si>
    <t xml:space="preserve">0000994701 </t>
  </si>
  <si>
    <t xml:space="preserve">0000994801 </t>
  </si>
  <si>
    <t xml:space="preserve">00009466/01 </t>
  </si>
  <si>
    <t xml:space="preserve">CT 010/2018 REF SERV PREST DE 05/02 A 04/04/2020. </t>
  </si>
  <si>
    <t xml:space="preserve">00009469/01 </t>
  </si>
  <si>
    <t>00010126/01</t>
  </si>
  <si>
    <t xml:space="preserve">CT 023/2017 REF 31ª MEDIÇÃO, DE 01 A 28/02/2020. </t>
  </si>
  <si>
    <t>00010127/01</t>
  </si>
  <si>
    <t>00010130/01</t>
  </si>
  <si>
    <t>00010131/01</t>
  </si>
  <si>
    <t xml:space="preserve">CT 023/2017 REF REAJUSTE 31ª MEDIÇÃO, DE 01 A  28/02/2020. </t>
  </si>
  <si>
    <t>00010129/01</t>
  </si>
  <si>
    <t xml:space="preserve">CT 023/2017 REF REAJUSTE DE 17/07/17 A 17/06/2018. </t>
  </si>
  <si>
    <t>00010128/01</t>
  </si>
  <si>
    <t xml:space="preserve">CT 023/2017 REF REAJUSTE DE 17/07/2017 A  16/06/2018. </t>
  </si>
  <si>
    <t>00003298/01</t>
  </si>
  <si>
    <t>00003299/01</t>
  </si>
  <si>
    <t>00003300/01</t>
  </si>
  <si>
    <t>00003301/01</t>
  </si>
  <si>
    <t>00003302/01</t>
  </si>
  <si>
    <t>00003303/01</t>
  </si>
  <si>
    <t xml:space="preserve">00009470/01 </t>
  </si>
  <si>
    <t>CT 010/0218 REF SERV PREST DE 05/04 A 20/05/2020.</t>
  </si>
  <si>
    <t>00010228/01</t>
  </si>
  <si>
    <t xml:space="preserve">CT 023/2017 REF 32ª MEDIÇÃO, DE 01 A 31/05/2020. </t>
  </si>
  <si>
    <t>00010229/01</t>
  </si>
  <si>
    <t>00010230/01</t>
  </si>
  <si>
    <t xml:space="preserve">CT 023/2017 REF REAJUSTAMENTO 32ª MEDIÇÃO, DE   01 A 31/05/2020. </t>
  </si>
  <si>
    <t>00010231/01</t>
  </si>
  <si>
    <t>00003346/01</t>
  </si>
  <si>
    <t>00003347/01</t>
  </si>
  <si>
    <t>00003348/01</t>
  </si>
  <si>
    <t xml:space="preserve">CT 023/2017 REF REAJUSTAMENTO 32ª MEDIÇÃO, DE  01 A 31/05/2020. </t>
  </si>
  <si>
    <t>00003349/01</t>
  </si>
  <si>
    <t xml:space="preserve">CT 023/2017 REF REAJUSTAMENTO 32ª MEDIÇÃO, DE 01 A 31/05/2020. </t>
  </si>
  <si>
    <t>00010296/01</t>
  </si>
  <si>
    <t xml:space="preserve">CT 023/2017 REF 33ª MEDIÇÃO, DE 01 A 30/04/2020. </t>
  </si>
  <si>
    <t>00010297/01</t>
  </si>
  <si>
    <t>00010298/01</t>
  </si>
  <si>
    <t xml:space="preserve">CT 023/2017 REF REAJUSTE 33ª MEDIÇÃO, DE 01 A  30/04/2020. </t>
  </si>
  <si>
    <t>00010299/01</t>
  </si>
  <si>
    <t>00003391/01</t>
  </si>
  <si>
    <t>00003392/01</t>
  </si>
  <si>
    <t>00003393/01</t>
  </si>
  <si>
    <t>00003394/01</t>
  </si>
  <si>
    <t>00010384/01</t>
  </si>
  <si>
    <t xml:space="preserve">CT 023/2017 REF REAJUSTE 34 MEDIÇÃO, DE 01 A  31/05/2020. </t>
  </si>
  <si>
    <t>00010385/01</t>
  </si>
  <si>
    <t xml:space="preserve">CT 023/2017 REF 34 MEDIÇÃO, DE 01 A 31/05/2020. </t>
  </si>
  <si>
    <t>00010386/01</t>
  </si>
  <si>
    <t>00010387/01</t>
  </si>
  <si>
    <t>00003420/01</t>
  </si>
  <si>
    <t>00003421/01</t>
  </si>
  <si>
    <t>00003422/01</t>
  </si>
  <si>
    <t>00003423/01</t>
  </si>
  <si>
    <t xml:space="preserve">00009474/01 </t>
  </si>
  <si>
    <t xml:space="preserve">CT 010/2018 REF SERV PREST DE 21/05 A 15/07/2020. </t>
  </si>
  <si>
    <t>00010532/01</t>
  </si>
  <si>
    <t xml:space="preserve">CT 023/2017 REF 35 MEDIÇÃO, DE 01 A 30/06/2020. </t>
  </si>
  <si>
    <t>00010533/01</t>
  </si>
  <si>
    <t xml:space="preserve">CT 023/2017 REF REAJUSTAMENTO 35 MEDIÇÃO, DE 01   A 30/06/2020. </t>
  </si>
  <si>
    <t>00010534/01</t>
  </si>
  <si>
    <t>00010535/01</t>
  </si>
  <si>
    <t>00003469/01</t>
  </si>
  <si>
    <t>00003470/01</t>
  </si>
  <si>
    <t>00003471/01</t>
  </si>
  <si>
    <t xml:space="preserve">CT 023/2017 REF REAJUSTAMENTO 35 MEDIÇÃO, DE 01  A 30/06/2020.  </t>
  </si>
  <si>
    <t>00003472/01</t>
  </si>
  <si>
    <t>00010582/01</t>
  </si>
  <si>
    <t xml:space="preserve">CT 023/2017 REF 36 MEDIÇÃO, DE 01 A 31/07/2020. </t>
  </si>
  <si>
    <t>00010583/01</t>
  </si>
  <si>
    <t>00010585/01</t>
  </si>
  <si>
    <t>00010586/01</t>
  </si>
  <si>
    <t>00003481/01</t>
  </si>
  <si>
    <t>00003482/01</t>
  </si>
  <si>
    <t>00003483/01</t>
  </si>
  <si>
    <t xml:space="preserve">CT 023/2017 REF REAJUSTAMENTO 36 MEDIÇÃO, DE 01  A 31/07/2020.  </t>
  </si>
  <si>
    <t>00003484/01</t>
  </si>
  <si>
    <t xml:space="preserve">CT 023/2017 REF REAJUSTAMENTO 36 MEDIÇÃO, DE 01 A 31/07/2020. </t>
  </si>
  <si>
    <t>00009484/01</t>
  </si>
  <si>
    <t>CT 010/2018 REF PREST SER DE 01/09/2020 à 01/10/2020.</t>
  </si>
  <si>
    <t>00010715/01</t>
  </si>
  <si>
    <t xml:space="preserve">CT 023/2017 REF SERV PREST DE 01 A 31/08/2020. </t>
  </si>
  <si>
    <t>00010716/01</t>
  </si>
  <si>
    <t>00010717/01</t>
  </si>
  <si>
    <t>00010718/01</t>
  </si>
  <si>
    <t>00003508/01</t>
  </si>
  <si>
    <t>00003509/01</t>
  </si>
  <si>
    <t>00003510/01</t>
  </si>
  <si>
    <t>00003511/01</t>
  </si>
  <si>
    <t>00010775/01</t>
  </si>
  <si>
    <t xml:space="preserve">CT 023/2017 REF SERV PREST DE 01 A 30/09/20 </t>
  </si>
  <si>
    <t>00010776/01</t>
  </si>
  <si>
    <t xml:space="preserve">CT 023/2017 REF SERV PREST DE 01 A 30/09/2020. </t>
  </si>
  <si>
    <t>00010777/01</t>
  </si>
  <si>
    <t>00010778/01</t>
  </si>
  <si>
    <t>00003532/01</t>
  </si>
  <si>
    <t>00003533/01</t>
  </si>
  <si>
    <t>00003534/01</t>
  </si>
  <si>
    <t>00003535/01</t>
  </si>
  <si>
    <t>00010915/01</t>
  </si>
  <si>
    <t xml:space="preserve">CT 023/2017 REF 39º DE 01 A 31/10/2020. </t>
  </si>
  <si>
    <t>00010916/01</t>
  </si>
  <si>
    <t xml:space="preserve">CT 023/2017 REF 39º BM DE 0 A 31/10/2020. </t>
  </si>
  <si>
    <t>00010917/01</t>
  </si>
  <si>
    <t xml:space="preserve">CT 023/2017 REF 39º DE 01 A 31/10/2020 </t>
  </si>
  <si>
    <t>00010918/01</t>
  </si>
  <si>
    <t xml:space="preserve">CT 023/2017 REF 39º BM DE 01 A 31/10/2020. </t>
  </si>
  <si>
    <t>00003568/01</t>
  </si>
  <si>
    <t>00003569/01</t>
  </si>
  <si>
    <t>00003570/01</t>
  </si>
  <si>
    <t xml:space="preserve">CT 023/2017 REF 39º BM DE 01 A 31/10/2020 </t>
  </si>
  <si>
    <t>00003571/01</t>
  </si>
  <si>
    <t>00011022/01</t>
  </si>
  <si>
    <t xml:space="preserve">CT 023/2017 REF SERV PREST DE 01 A 30/11/2020. </t>
  </si>
  <si>
    <t>00011023/01</t>
  </si>
  <si>
    <t xml:space="preserve">REF SERV PREST DE 01 A 30/11/2020. </t>
  </si>
  <si>
    <t>00011024/01</t>
  </si>
  <si>
    <t>00011025/01</t>
  </si>
  <si>
    <t>00003601/01</t>
  </si>
  <si>
    <t>00003602/01</t>
  </si>
  <si>
    <t xml:space="preserve">CT 023/2017 REF SERV PREST DE 01 A 30/11/2020 </t>
  </si>
  <si>
    <t>00003603/01</t>
  </si>
  <si>
    <t>00003604/01</t>
  </si>
  <si>
    <t xml:space="preserve">0001109201 </t>
  </si>
  <si>
    <t xml:space="preserve">CT 023/2017 REF 41º BM DE 01 A 31/12/2020. </t>
  </si>
  <si>
    <t xml:space="preserve">0001109301 </t>
  </si>
  <si>
    <t xml:space="preserve">0001109401 </t>
  </si>
  <si>
    <t xml:space="preserve">0001109501 </t>
  </si>
  <si>
    <t xml:space="preserve">0000363601 </t>
  </si>
  <si>
    <t xml:space="preserve">0000363701 </t>
  </si>
  <si>
    <t xml:space="preserve">CT 023/2017 REF 41º BM DE 01 DE 31/01/2021. </t>
  </si>
  <si>
    <t xml:space="preserve">0000363801 </t>
  </si>
  <si>
    <t xml:space="preserve">0000363901 </t>
  </si>
  <si>
    <t>00011190/01</t>
  </si>
  <si>
    <t xml:space="preserve">CT 023/2017 REF 42º BM DE 01 A 31/01/2021. </t>
  </si>
  <si>
    <t>00011191/01</t>
  </si>
  <si>
    <t>00011192/01</t>
  </si>
  <si>
    <t>00011193/01</t>
  </si>
  <si>
    <t>00003675/01</t>
  </si>
  <si>
    <t>00003676/01</t>
  </si>
  <si>
    <t>00003678/01</t>
  </si>
  <si>
    <t>00003677/01</t>
  </si>
  <si>
    <t>00011253/01</t>
  </si>
  <si>
    <t xml:space="preserve">CT 023/2017 REF REAJUSTE ENTRE BM 14 A 31 NO  PERIODO DE 01/09/2018 A 28/02/2020. </t>
  </si>
  <si>
    <t>00011254/01</t>
  </si>
  <si>
    <t>00003702/01</t>
  </si>
  <si>
    <t xml:space="preserve">CT 023/2017 REF REAJUSTE ENTRE BM 14 A 31 NO PERIODO DE 01/09/2018 A 28/02/2020. </t>
  </si>
  <si>
    <t>00003703/01</t>
  </si>
  <si>
    <t>00011271/01</t>
  </si>
  <si>
    <t xml:space="preserve">CT 023/2017 REF BM 43 EM FEV 2021. </t>
  </si>
  <si>
    <t>00011272/01</t>
  </si>
  <si>
    <t>00011273/01</t>
  </si>
  <si>
    <t>00011274/01</t>
  </si>
  <si>
    <t>00003718/01</t>
  </si>
  <si>
    <t>00003719/01</t>
  </si>
  <si>
    <t>00003720/01</t>
  </si>
  <si>
    <t>00003721/01</t>
  </si>
  <si>
    <t xml:space="preserve">CT 023/2017 REF BM 43 DE FEV 2021. </t>
  </si>
  <si>
    <t>00011351/01</t>
  </si>
  <si>
    <t xml:space="preserve">CT 023/2017 REF BM 44 DE 01 A 31/03/2021. </t>
  </si>
  <si>
    <t>00011352/01</t>
  </si>
  <si>
    <t>00011353/01</t>
  </si>
  <si>
    <t>00011354/01</t>
  </si>
  <si>
    <t>00003794/01</t>
  </si>
  <si>
    <t>00003795/01</t>
  </si>
  <si>
    <t>00003796/01</t>
  </si>
  <si>
    <t>00003797/01</t>
  </si>
  <si>
    <t>00011431/01</t>
  </si>
  <si>
    <t xml:space="preserve">CT 023/2017 REF BM 45 EM ABRIL 2021. </t>
  </si>
  <si>
    <t>00011432/01</t>
  </si>
  <si>
    <t>00011433/01</t>
  </si>
  <si>
    <t>00011434/01</t>
  </si>
  <si>
    <t>00003862/01</t>
  </si>
  <si>
    <t xml:space="preserve">CT 023/2017 REF BM 45 EM ABRIL 2021 </t>
  </si>
  <si>
    <t>00003861/01</t>
  </si>
  <si>
    <t>00003863/01</t>
  </si>
  <si>
    <t>00003864/01</t>
  </si>
  <si>
    <t>00009514/01</t>
  </si>
  <si>
    <t xml:space="preserve">CT 010/2018 REF SERV PREST 04/03/2021 à 31/05/2021 </t>
  </si>
  <si>
    <t>00009503/01</t>
  </si>
  <si>
    <t xml:space="preserve">CT 010/2018 REF SERV PREST DE 01 A 31/03/2021. </t>
  </si>
  <si>
    <t>00011511/01</t>
  </si>
  <si>
    <t xml:space="preserve">CT 023/2017 REF SERV PREST EM MAI 2021 </t>
  </si>
  <si>
    <t>00011512/01</t>
  </si>
  <si>
    <t xml:space="preserve">CT 023/2017 REF BM 46 EM MAIO 2021 </t>
  </si>
  <si>
    <t>00011513/01</t>
  </si>
  <si>
    <t xml:space="preserve">CT 023/2017 REF BM 46 EM MAIO DE 2021 </t>
  </si>
  <si>
    <t>00011514/01</t>
  </si>
  <si>
    <t xml:space="preserve">CT 023/2017 REF BM 46 EM MAIO 2021. </t>
  </si>
  <si>
    <t>00003903/01</t>
  </si>
  <si>
    <t>00003904/01</t>
  </si>
  <si>
    <t>00003905/01</t>
  </si>
  <si>
    <t xml:space="preserve">CT 023/2017 REF M 46 EM MAIO DE 2021 </t>
  </si>
  <si>
    <t>00003902/01</t>
  </si>
  <si>
    <t>00011615/01</t>
  </si>
  <si>
    <t xml:space="preserve">CT 023/2017 REF BM 47 EM JUN 2021 </t>
  </si>
  <si>
    <t>00011616/01</t>
  </si>
  <si>
    <t>00011617/01</t>
  </si>
  <si>
    <t>00011618/01</t>
  </si>
  <si>
    <t>00003952/01</t>
  </si>
  <si>
    <t>00003953/01</t>
  </si>
  <si>
    <t>00003954/01</t>
  </si>
  <si>
    <t>00003955/01</t>
  </si>
  <si>
    <t xml:space="preserve">CT 023/2017 REF 47 EM JUN 2021. </t>
  </si>
  <si>
    <t>00011650/01</t>
  </si>
  <si>
    <t xml:space="preserve">CT 023/2017 REF REAJ ENTRE BM 38 e 47 </t>
  </si>
  <si>
    <t>00011651/01</t>
  </si>
  <si>
    <t>00003959/01</t>
  </si>
  <si>
    <t>00003960/01</t>
  </si>
  <si>
    <t>00011684/01</t>
  </si>
  <si>
    <t xml:space="preserve">CT 023/2017 REF BM 48 DE 01 a 16/07/2021 </t>
  </si>
  <si>
    <t>00011685/01</t>
  </si>
  <si>
    <t>00011686/01</t>
  </si>
  <si>
    <t>00011687/01</t>
  </si>
  <si>
    <t>00003985/01</t>
  </si>
  <si>
    <t>00003986/01</t>
  </si>
  <si>
    <t>00003987/01</t>
  </si>
  <si>
    <t>00003988/01</t>
  </si>
  <si>
    <t>00011705/01</t>
  </si>
  <si>
    <t xml:space="preserve">CT 023/2017 REF BM 49 NO PERIODO DE 17 a  31/07/2021. </t>
  </si>
  <si>
    <t>00011706/01</t>
  </si>
  <si>
    <t>00011707/01</t>
  </si>
  <si>
    <t>00011708/01</t>
  </si>
  <si>
    <t>00004028/01</t>
  </si>
  <si>
    <t>00004029/01</t>
  </si>
  <si>
    <t>00004030/01</t>
  </si>
  <si>
    <t>00004031/01</t>
  </si>
  <si>
    <t>00011864/01</t>
  </si>
  <si>
    <t xml:space="preserve">CT 023/2017 REF BM 50 DE 01 A 31/08/2021. </t>
  </si>
  <si>
    <t>00011865/01</t>
  </si>
  <si>
    <t>00011866/01</t>
  </si>
  <si>
    <t>00011867/01</t>
  </si>
  <si>
    <t>00004091/01</t>
  </si>
  <si>
    <t>00004092/01</t>
  </si>
  <si>
    <t>00004093/01</t>
  </si>
  <si>
    <t>00004094/01</t>
  </si>
  <si>
    <t>00009547/01</t>
  </si>
  <si>
    <t>CT 010/2018 REF SERV PREST DE 18/09/2021 à 25/10/2021</t>
  </si>
  <si>
    <t>00011924/01</t>
  </si>
  <si>
    <t xml:space="preserve">CT 023/2017 REF BM 51 NO PERIODO DE 01 A  30/09/2021 </t>
  </si>
  <si>
    <t>00011925/01</t>
  </si>
  <si>
    <t>00011926/01</t>
  </si>
  <si>
    <t>00011927/01</t>
  </si>
  <si>
    <t>00004136/01</t>
  </si>
  <si>
    <t>00004137/01</t>
  </si>
  <si>
    <t>00004138/01</t>
  </si>
  <si>
    <t>00004139/01</t>
  </si>
  <si>
    <t xml:space="preserve">0001219501 </t>
  </si>
  <si>
    <t xml:space="preserve">CT 023/2017 REF BM 52 NO PERÍODO DE 01 A  31/10/2021 </t>
  </si>
  <si>
    <t xml:space="preserve">0001219601 </t>
  </si>
  <si>
    <t xml:space="preserve">CT 023/2017 REF BM 52 NO PERÍODO DE 01 A  31/10/2021. </t>
  </si>
  <si>
    <t xml:space="preserve">0001219701 </t>
  </si>
  <si>
    <t xml:space="preserve">0001219801 </t>
  </si>
  <si>
    <t xml:space="preserve">00004213/01 </t>
  </si>
  <si>
    <t xml:space="preserve">00004214/01 </t>
  </si>
  <si>
    <t xml:space="preserve">00004215/01 </t>
  </si>
  <si>
    <t xml:space="preserve">00004216/01 </t>
  </si>
  <si>
    <t>00009556/01</t>
  </si>
  <si>
    <t>CT 010/2018 REF SERV PREST NO PERÍODO DE 01 A 20/12/2021.</t>
  </si>
  <si>
    <t>00012247/01</t>
  </si>
  <si>
    <t xml:space="preserve">CT 023/2017 REF BM 53 NO PERIODO DE 01 A  30/11/2021. </t>
  </si>
  <si>
    <t>00012248/01</t>
  </si>
  <si>
    <t>00012249/01</t>
  </si>
  <si>
    <t>00012250/01</t>
  </si>
  <si>
    <t>00004259/01</t>
  </si>
  <si>
    <t>00004261/01</t>
  </si>
  <si>
    <t>00004260/01</t>
  </si>
  <si>
    <t>00004262/01</t>
  </si>
  <si>
    <t xml:space="preserve">CT 023/2017 REF BM 53 NO PERIODO DE 01 A 30/11/2021.  </t>
  </si>
  <si>
    <t>00012338/01</t>
  </si>
  <si>
    <t xml:space="preserve">CT 023/2017 REF BM 54 NO PERIODO DE 01 A  31/12/2021. </t>
  </si>
  <si>
    <t>00012339/01</t>
  </si>
  <si>
    <t>00012340/01</t>
  </si>
  <si>
    <t>00012341/01</t>
  </si>
  <si>
    <t>00004304/01</t>
  </si>
  <si>
    <t xml:space="preserve">CT 023/2017 REF BM 54 NO PErIODO DE 01 A  31/12/2021. </t>
  </si>
  <si>
    <t>00004305/01</t>
  </si>
  <si>
    <t>00004306/01</t>
  </si>
  <si>
    <t>00004307/01</t>
  </si>
  <si>
    <t>00012435/01</t>
  </si>
  <si>
    <t xml:space="preserve">CT 023/2017 REF BM 55 NO EM JAN 2022. </t>
  </si>
  <si>
    <t>00012436/01</t>
  </si>
  <si>
    <t>00012437/01</t>
  </si>
  <si>
    <t>00012438/01</t>
  </si>
  <si>
    <t>00004371/01</t>
  </si>
  <si>
    <t>00004372/01</t>
  </si>
  <si>
    <t>00004373/01</t>
  </si>
  <si>
    <t>00004374/01</t>
  </si>
  <si>
    <t>00009582/01</t>
  </si>
  <si>
    <t xml:space="preserve">CT 010/2018 REF SERV PREST EM MARÇO 2022. </t>
  </si>
  <si>
    <t>00012488/01</t>
  </si>
  <si>
    <t xml:space="preserve">CT 023/2017 REF BM  55 NO PERÍODO DE 01 A  31/01/2022 </t>
  </si>
  <si>
    <t>00012489/01</t>
  </si>
  <si>
    <t xml:space="preserve">CT 023/2017 REF BM 55 EM JAN 2022 </t>
  </si>
  <si>
    <t>00004388/01</t>
  </si>
  <si>
    <t>00004389/01</t>
  </si>
  <si>
    <t xml:space="preserve">CT 023/2017 REF BM 55 EM JAN 2022. </t>
  </si>
  <si>
    <t xml:space="preserve">0001260001 </t>
  </si>
  <si>
    <t xml:space="preserve">CT 023/2017 REF BM 56 NO PERÍODO DE 01 A  28/02/2022 </t>
  </si>
  <si>
    <t xml:space="preserve">0001260101 </t>
  </si>
  <si>
    <t xml:space="preserve">0001260201 </t>
  </si>
  <si>
    <t xml:space="preserve">0001260301 </t>
  </si>
  <si>
    <t xml:space="preserve">0000443301 </t>
  </si>
  <si>
    <t xml:space="preserve">CT 023/2017 REF BM 56 NO PERÍODO DE 01 A  28/02/2022. </t>
  </si>
  <si>
    <t xml:space="preserve">0000443401 </t>
  </si>
  <si>
    <t xml:space="preserve">0000443501 </t>
  </si>
  <si>
    <t xml:space="preserve">0000443601 </t>
  </si>
  <si>
    <t>00012703/01</t>
  </si>
  <si>
    <t xml:space="preserve">CT 023/2017 REF 57º BM NO PERÍODO DE 01 A  31/03/2022. </t>
  </si>
  <si>
    <t>00012704/01</t>
  </si>
  <si>
    <t>00012705/01</t>
  </si>
  <si>
    <t>00012706/01</t>
  </si>
  <si>
    <t>00004483/01</t>
  </si>
  <si>
    <t>00004484/01</t>
  </si>
  <si>
    <t>00004485/01</t>
  </si>
  <si>
    <t>00004486/01</t>
  </si>
  <si>
    <t>00009595/01</t>
  </si>
  <si>
    <t xml:space="preserve">CT 010/2018 REF 6º ADITIVO. </t>
  </si>
  <si>
    <t>00009601/01</t>
  </si>
  <si>
    <t>00012813/01</t>
  </si>
  <si>
    <t xml:space="preserve">CT 023/2017 REF BM 58 NO PERÍODO DE 01 A  30/04/2022. </t>
  </si>
  <si>
    <t>00012814/01</t>
  </si>
  <si>
    <t>00012815/01</t>
  </si>
  <si>
    <t>00012816/01</t>
  </si>
  <si>
    <t>00004544/01</t>
  </si>
  <si>
    <t xml:space="preserve">CT 023/2017 REF BM 58 NO PERÍODO DE 01 A 30/04/2022.  </t>
  </si>
  <si>
    <t>00004545/01</t>
  </si>
  <si>
    <t>00004546/01</t>
  </si>
  <si>
    <t>00004547/01</t>
  </si>
  <si>
    <t>00013002/01</t>
  </si>
  <si>
    <t xml:space="preserve">CT 023/2017 REF BM 59 NO PERÍODO DE 01 A  31/05/2022. </t>
  </si>
  <si>
    <t>00013003/01</t>
  </si>
  <si>
    <t>00013004/01</t>
  </si>
  <si>
    <t>00013005/01</t>
  </si>
  <si>
    <t>00004597/01</t>
  </si>
  <si>
    <t>00004598/01</t>
  </si>
  <si>
    <t>00004599/01</t>
  </si>
  <si>
    <t>00004600/01</t>
  </si>
  <si>
    <t>00013518/01</t>
  </si>
  <si>
    <t>CT 023/2017 REF BM 60 NO PERIODO DE 01 A  30/06/2022.</t>
  </si>
  <si>
    <t>00013519/01</t>
  </si>
  <si>
    <t>00013520/01</t>
  </si>
  <si>
    <t xml:space="preserve">CT 023/2017 REF BM 60 NO PERIODO DE 01 A  30/06/2022. </t>
  </si>
  <si>
    <t>00013521/01</t>
  </si>
  <si>
    <t>00013536/01</t>
  </si>
  <si>
    <t>00013537/01</t>
  </si>
  <si>
    <t>00013538/01</t>
  </si>
  <si>
    <t>00013539/01</t>
  </si>
  <si>
    <t>00005045/01</t>
  </si>
  <si>
    <t>00005048/01</t>
  </si>
  <si>
    <t>00005049/01</t>
  </si>
  <si>
    <t>00005050/01</t>
  </si>
  <si>
    <t>00005072/01</t>
  </si>
  <si>
    <t>00005073/01</t>
  </si>
  <si>
    <t>00005074/01</t>
  </si>
  <si>
    <t>00005075/01</t>
  </si>
  <si>
    <t>CT.111/2022 REF VI no período de 01/01/2023 à 31/01/2023</t>
  </si>
  <si>
    <t>Consórcio TPF/ECR</t>
  </si>
  <si>
    <t>CT.111/2022 REF VI no período de 01/02/2023 à 28/02/2023</t>
  </si>
  <si>
    <t>CT.111/2022 REF VI no período de 01/04/2023 à 30/04/2023</t>
  </si>
  <si>
    <t>CT.111/2022 REF VI no período de 01/03/2023 à 31/03/2023</t>
  </si>
  <si>
    <t>CT.111/2022 REF VI no período de 01/06/2023 à 30/06/2023</t>
  </si>
  <si>
    <t>CT.111/2022 REF VI no período de 01/05/2023 à 31/05/2023</t>
  </si>
  <si>
    <t>CT.111/2022 REF VI no período de 01/07/2023 à 31/07/2023</t>
  </si>
  <si>
    <t>Pleito - Postergação de VI em 2020</t>
  </si>
  <si>
    <t>IPCA do período</t>
  </si>
  <si>
    <t>Mês/Ano</t>
  </si>
  <si>
    <t>1/2015</t>
  </si>
  <si>
    <t>2/2015</t>
  </si>
  <si>
    <t>3/2015</t>
  </si>
  <si>
    <t>4/2015</t>
  </si>
  <si>
    <t>5/2015</t>
  </si>
  <si>
    <t>6/2015</t>
  </si>
  <si>
    <t>7/2015</t>
  </si>
  <si>
    <t>8/2015</t>
  </si>
  <si>
    <t>9/2015</t>
  </si>
  <si>
    <t>10/2015</t>
  </si>
  <si>
    <t>11/2015</t>
  </si>
  <si>
    <t>12/2015</t>
  </si>
  <si>
    <t>1/2016</t>
  </si>
  <si>
    <t>2/2016</t>
  </si>
  <si>
    <t>3/2016</t>
  </si>
  <si>
    <t>4/2016</t>
  </si>
  <si>
    <t>5/2016</t>
  </si>
  <si>
    <t>6/2016</t>
  </si>
  <si>
    <t>7/2016</t>
  </si>
  <si>
    <t>8/2016</t>
  </si>
  <si>
    <t>9/2016</t>
  </si>
  <si>
    <t>10/2016</t>
  </si>
  <si>
    <t>11/2016</t>
  </si>
  <si>
    <t>12/2016</t>
  </si>
  <si>
    <t>1/2017</t>
  </si>
  <si>
    <t>2/2017</t>
  </si>
  <si>
    <t>3/2017</t>
  </si>
  <si>
    <t>4/2017</t>
  </si>
  <si>
    <t>5/2017</t>
  </si>
  <si>
    <t>6/2017</t>
  </si>
  <si>
    <t>7/2017</t>
  </si>
  <si>
    <t>8/2017</t>
  </si>
  <si>
    <t>9/2017</t>
  </si>
  <si>
    <t>10/2017</t>
  </si>
  <si>
    <t>11/2017</t>
  </si>
  <si>
    <t>12/2017</t>
  </si>
  <si>
    <t>1/2018</t>
  </si>
  <si>
    <t>2/2018</t>
  </si>
  <si>
    <t>3/2018</t>
  </si>
  <si>
    <t>4/2018</t>
  </si>
  <si>
    <t>5/2018</t>
  </si>
  <si>
    <t>6/2018</t>
  </si>
  <si>
    <t>7/2018</t>
  </si>
  <si>
    <t>8/2018</t>
  </si>
  <si>
    <t>9/2018</t>
  </si>
  <si>
    <t>10/2018</t>
  </si>
  <si>
    <t>11/2018</t>
  </si>
  <si>
    <t>12/2018</t>
  </si>
  <si>
    <t>1/2019</t>
  </si>
  <si>
    <t>2/2019</t>
  </si>
  <si>
    <t>3/2019</t>
  </si>
  <si>
    <t>4/2019</t>
  </si>
  <si>
    <t>5/2019</t>
  </si>
  <si>
    <t>6/2019</t>
  </si>
  <si>
    <t>7/2019</t>
  </si>
  <si>
    <t>8/2019</t>
  </si>
  <si>
    <t>9/2019</t>
  </si>
  <si>
    <t>10/2019</t>
  </si>
  <si>
    <t>11/2019</t>
  </si>
  <si>
    <t>12/2019</t>
  </si>
  <si>
    <t>1/2020</t>
  </si>
  <si>
    <t>2/2020</t>
  </si>
  <si>
    <t>3/2020</t>
  </si>
  <si>
    <t>4/2020</t>
  </si>
  <si>
    <t>5/2020</t>
  </si>
  <si>
    <t>6/2020</t>
  </si>
  <si>
    <t>7/2020</t>
  </si>
  <si>
    <t>8/2020</t>
  </si>
  <si>
    <t>9/2020</t>
  </si>
  <si>
    <t>10/2020</t>
  </si>
  <si>
    <t>11/2020</t>
  </si>
  <si>
    <t>12/2020</t>
  </si>
  <si>
    <t>1/2021</t>
  </si>
  <si>
    <t>2/2021</t>
  </si>
  <si>
    <t>3/2021</t>
  </si>
  <si>
    <t>4/2021</t>
  </si>
  <si>
    <t>5/2021</t>
  </si>
  <si>
    <t>6/2021</t>
  </si>
  <si>
    <t>7/2021</t>
  </si>
  <si>
    <t>8/2021</t>
  </si>
  <si>
    <t>9/2021</t>
  </si>
  <si>
    <t>10/2021</t>
  </si>
  <si>
    <t>11/2021</t>
  </si>
  <si>
    <t>12/2021</t>
  </si>
  <si>
    <t>1/2022</t>
  </si>
  <si>
    <t>2/2022</t>
  </si>
  <si>
    <t>3/2022</t>
  </si>
  <si>
    <t>4/2022</t>
  </si>
  <si>
    <t>5/2022</t>
  </si>
  <si>
    <t>6/2022</t>
  </si>
  <si>
    <t>7/2022</t>
  </si>
  <si>
    <t>8/2022</t>
  </si>
  <si>
    <t>9/2022</t>
  </si>
  <si>
    <t>10/2022</t>
  </si>
  <si>
    <t>11/2022</t>
  </si>
  <si>
    <t>12/2022</t>
  </si>
  <si>
    <t>1/2023</t>
  </si>
  <si>
    <t>2/2023</t>
  </si>
  <si>
    <t>3/2023</t>
  </si>
  <si>
    <t>4/2023</t>
  </si>
  <si>
    <t>5/2023</t>
  </si>
  <si>
    <t>6/2023</t>
  </si>
  <si>
    <t>7/2023</t>
  </si>
  <si>
    <t>8/2023</t>
  </si>
  <si>
    <t>9/2023</t>
  </si>
  <si>
    <t>10/2023</t>
  </si>
  <si>
    <t>11/2023</t>
  </si>
  <si>
    <t>12/2023</t>
  </si>
  <si>
    <t>1/2024</t>
  </si>
  <si>
    <t>Valor (Set/2010)</t>
  </si>
  <si>
    <t>8º Pleito - SUPRESSÃO DAS DESPESAS COM VERIFICADOR INDEPENDENTE NO PERÍODO DE 01/07/2022 A 12/12/2022 E ATUALIZAÇÃO DOS VALORES DESDE 2017</t>
  </si>
  <si>
    <t>Ano 12</t>
  </si>
  <si>
    <t>Ano 13</t>
  </si>
  <si>
    <t>Ano 11</t>
  </si>
  <si>
    <t>CPTI</t>
  </si>
  <si>
    <t>Valor R$ (Set/2010)</t>
  </si>
  <si>
    <t>Ano Calendário</t>
  </si>
  <si>
    <t>Data início</t>
  </si>
  <si>
    <t>Data final</t>
  </si>
  <si>
    <t>Valor R$ mil (Set/2010)</t>
  </si>
  <si>
    <t>Ano do Contrato</t>
  </si>
  <si>
    <t>Tabela Resumo</t>
  </si>
  <si>
    <t>Revisão de valores</t>
  </si>
  <si>
    <t>REVISÃO - REPASSES PARA VERIFICADOR E REVISOR INDEPENDENTE</t>
  </si>
  <si>
    <t>Locação da passarela Mercês</t>
  </si>
  <si>
    <t>Valor da Locação até 31/12/2023</t>
  </si>
  <si>
    <t>Valor da Locação a partir de 01/01/2024</t>
  </si>
  <si>
    <t>Valor R$</t>
  </si>
  <si>
    <t>Valor R$ (set/2010)</t>
  </si>
  <si>
    <t>IPCA acumulado</t>
  </si>
  <si>
    <t>2/2024</t>
  </si>
  <si>
    <t>3/2024</t>
  </si>
  <si>
    <t>4/2024</t>
  </si>
  <si>
    <t>5/2024</t>
  </si>
  <si>
    <t>6/2024</t>
  </si>
  <si>
    <t>7/2024</t>
  </si>
  <si>
    <t>R$ mil</t>
  </si>
  <si>
    <t>Revisão dos Repasses para Verificador e Revisor Independente</t>
  </si>
  <si>
    <t>1C - Despesas com a Passarela de Mercês</t>
  </si>
  <si>
    <t>8/2024</t>
  </si>
  <si>
    <t>9/2024</t>
  </si>
  <si>
    <t>10/2024</t>
  </si>
  <si>
    <t>Considerar até ano 13</t>
  </si>
  <si>
    <t>Valor da Locação a partir de 01/08/2024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</si>
</sst>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5">
    <numFmt numFmtId="8" formatCode="&quot;R$&quot;\ #,##0.00;[Red]\-&quot;R$&quot;\ #,##0.00"/>
    <numFmt numFmtId="41" formatCode="_-* #,##0_-;\-* #,##0_-;_-* &quot;-&quot;_-;_-@_-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&quot;R$ &quot;* #,##0.00_);_(&quot;R$ &quot;* \(#,##0.00\);_(&quot;R$ &quot;* &quot;-&quot;??_);_(@_)"/>
    <numFmt numFmtId="165" formatCode="_(* #,##0.00_);_(* \(#,##0.00\);_(* &quot;-&quot;??_);_(@_)"/>
    <numFmt numFmtId="166" formatCode="_(* #,##0_);_(* \(#,##0\);_(* &quot;-&quot;_);_(@_)"/>
    <numFmt numFmtId="167" formatCode="_(&quot;Cr$&quot;* #,##0_);_(&quot;Cr$&quot;* \(#,##0\);_(&quot;Cr$&quot;* &quot;-&quot;_);_(@_)"/>
    <numFmt numFmtId="168" formatCode="_(&quot;$&quot;* #,##0.00_);_(&quot;$&quot;* \(#,##0.00\);_(&quot;$&quot;* &quot;-&quot;??_);_(@_)"/>
    <numFmt numFmtId="169" formatCode="_([$€]* #,##0.00_);_([$€]* \(#,##0.00\);_([$€]* &quot;-&quot;??_);_(@_)"/>
    <numFmt numFmtId="170" formatCode="_(#,##0_);\(#,##0\)"/>
    <numFmt numFmtId="171" formatCode="_(&quot;$&quot;\ * #,##0_);_(&quot;$&quot;\ * \(#,##0\);_(&quot;$&quot;\ * &quot;-&quot;_);_(@_)"/>
    <numFmt numFmtId="172" formatCode="_(&quot;$&quot;\ * #,##0.00_);_(&quot;$&quot;\ * \(#,##0.00\);_(&quot;$&quot;\ * &quot;-&quot;??_);_(@_)"/>
    <numFmt numFmtId="173" formatCode="#,##0;\(0,000\)"/>
    <numFmt numFmtId="174" formatCode="_-* #,##0_-;\-* #,##0_-;_-* &quot;-&quot;??_-;_-@_-"/>
    <numFmt numFmtId="175" formatCode="0.0"/>
    <numFmt numFmtId="176" formatCode="&quot;R$&quot;\ #,##0.00"/>
    <numFmt numFmtId="177" formatCode="##&quot; anos&quot;"/>
    <numFmt numFmtId="178" formatCode="0.0%"/>
    <numFmt numFmtId="179" formatCode="&quot;R$&quot;\ 0.000"/>
    <numFmt numFmtId="180" formatCode="&quot;R$&quot;\ #,##0.000"/>
    <numFmt numFmtId="181" formatCode="0.000%"/>
    <numFmt numFmtId="182" formatCode="0.00000%"/>
    <numFmt numFmtId="183" formatCode="0.0000000%"/>
    <numFmt numFmtId="184" formatCode="0.00000"/>
    <numFmt numFmtId="185" formatCode="_(* #,##0.00000_);_(* \(#,##0.00000\);_(* &quot;-&quot;_);_(@_)"/>
    <numFmt numFmtId="186" formatCode="d/m/yy"/>
    <numFmt numFmtId="187" formatCode="&quot;R$&quot;\ 0.00000"/>
    <numFmt numFmtId="188" formatCode="_(* #,##0.0000000_);_(* \(#,##0.0000000\);_(* &quot;-&quot;_);_(@_)"/>
    <numFmt numFmtId="189" formatCode="0.000000"/>
    <numFmt numFmtId="190" formatCode="&quot;R$&quot;\ #,##0.000;[Red]\-&quot;R$&quot;\ #,##0.000"/>
    <numFmt numFmtId="191" formatCode="0_ ;\-0\ "/>
    <numFmt numFmtId="192" formatCode="d/m/yy;@"/>
    <numFmt numFmtId="193" formatCode="0.0000"/>
    <numFmt numFmtId="194" formatCode="0.000"/>
    <numFmt numFmtId="195" formatCode="0.00_ ;\-0.00\ "/>
    <numFmt numFmtId="196" formatCode="_-* #,##0.0000_-;\-* #,##0.0000_-;_-* &quot;-&quot;??_-;_-@_-"/>
    <numFmt numFmtId="197" formatCode="_-* #,##0.00000_-;\-* #,##0.00000_-;_-* &quot;-&quot;??_-;_-@_-"/>
    <numFmt numFmtId="198" formatCode="_-* #,##0.00000_-;\-* #,##0.00000_-;_-* &quot;-&quot;?????_-;_-@_-"/>
    <numFmt numFmtId="199" formatCode="_-&quot;R$&quot;\ * #,##0.000_-;\-&quot;R$&quot;\ * #,##0.000_-;_-&quot;R$&quot;\ * &quot;-&quot;??_-;_-@_-"/>
    <numFmt numFmtId="200" formatCode="_-* #,##0.0000_-;\-* #,##0.0000_-;_-* &quot;-&quot;????_-;_-@_-"/>
    <numFmt numFmtId="201" formatCode="_-&quot;R$&quot;\ * #,##0.0000_-;\-&quot;R$&quot;\ * #,##0.0000_-;_-&quot;R$&quot;\ * &quot;-&quot;??_-;_-@_-"/>
    <numFmt numFmtId="202" formatCode="_-* #,##0.00000_-;\-* #,##0.00000_-;_-* &quot;-&quot;??????_-;_-@_-"/>
    <numFmt numFmtId="203" formatCode="_-* #,##0_-;\-* #,##0_-;_-* &quot;-&quot;????_-;_-@_-"/>
    <numFmt numFmtId="204" formatCode="0.000_ ;[Red]\-0.000\ "/>
    <numFmt numFmtId="205" formatCode="mmmm"/>
    <numFmt numFmtId="206" formatCode="_-* #,##0.00000000_-;\-* #,##0.00000000_-;_-* &quot;-&quot;??_-;_-@_-"/>
    <numFmt numFmtId="207" formatCode="0.000_ ;\-0.000\ "/>
    <numFmt numFmtId="208" formatCode="0.0000000"/>
    <numFmt numFmtId="209" formatCode="&quot;R$&quot;\ #,##0.0000;[Red]\-&quot;R$&quot;\ #,##0.0000"/>
    <numFmt numFmtId="210" formatCode="_-* #,##0.00000000000_-;\-* #,##0.00000000000_-;_-* &quot;-&quot;??_-;_-@_-"/>
    <numFmt numFmtId="211" formatCode="_-* #,##0.000000_-;\-* #,##0.000000_-;_-* &quot;-&quot;?????_-;_-@_-"/>
    <numFmt numFmtId="212" formatCode="_-* #,##0.0000000_-;\-* #,##0.0000000_-;_-* &quot;-&quot;?????_-;_-@_-"/>
    <numFmt numFmtId="213" formatCode="_-* #,##0.000_-;\-* #,##0.000_-;_-* &quot;-&quot;??_-;_-@_-"/>
    <numFmt numFmtId="214" formatCode="_-* #,##0.0000_-;\-* #,##0.0000_-;_-* &quot;-&quot;?????_-;_-@_-"/>
  </numFmts>
  <fonts count="103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sz val="12"/>
      <color indexed="24"/>
      <name val="Arial"/>
      <family val="2"/>
    </font>
    <font>
      <sz val="14"/>
      <color indexed="24"/>
      <name val="Arial"/>
      <family val="2"/>
    </font>
    <font>
      <sz val="10"/>
      <name val="Times New Roman"/>
      <family val="1"/>
    </font>
    <font>
      <sz val="12"/>
      <name val="Arial"/>
      <family val="2"/>
    </font>
    <font>
      <sz val="12"/>
      <name val="Times New Roman"/>
      <family val="1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color indexed="24"/>
      <name val="Arial"/>
      <family val="2"/>
    </font>
    <font>
      <b/>
      <sz val="8"/>
      <color indexed="10"/>
      <name val="Arial"/>
      <family val="2"/>
    </font>
    <font>
      <b/>
      <sz val="10"/>
      <name val="MS Sans Serif"/>
      <family val="2"/>
    </font>
    <font>
      <b/>
      <sz val="11"/>
      <name val="Arial"/>
      <family val="2"/>
    </font>
    <font>
      <i/>
      <sz val="1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0"/>
      <color indexed="9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b/>
      <i/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b/>
      <sz val="10"/>
      <name val="Times New Roman"/>
      <family val="1"/>
    </font>
    <font>
      <b/>
      <sz val="10"/>
      <name val="TimesNewRomanPS"/>
      <family val="1"/>
    </font>
    <font>
      <sz val="10"/>
      <color indexed="12"/>
      <name val="Arial"/>
      <family val="2"/>
    </font>
    <font>
      <sz val="9"/>
      <color indexed="81"/>
      <name val="Segoe U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4"/>
      <name val="Calibri"/>
      <family val="2"/>
    </font>
    <font>
      <b/>
      <sz val="12"/>
      <name val="Courier New"/>
      <family val="3"/>
    </font>
    <font>
      <sz val="12"/>
      <name val="Courier New"/>
      <family val="3"/>
    </font>
    <font>
      <sz val="8"/>
      <name val="Courier New"/>
      <family val="3"/>
    </font>
    <font>
      <b/>
      <sz val="10"/>
      <name val="Courier New"/>
      <family val="3"/>
    </font>
    <font>
      <sz val="10"/>
      <name val="Courier New"/>
      <family val="3"/>
    </font>
    <font>
      <b/>
      <sz val="8"/>
      <name val="Courier New"/>
      <family val="3"/>
    </font>
    <font>
      <sz val="10"/>
      <name val="Arial"/>
      <family val="2"/>
    </font>
    <font>
      <sz val="10"/>
      <name val="Arial"/>
      <family val="2"/>
    </font>
    <font>
      <b/>
      <sz val="18"/>
      <color indexed="56"/>
      <name val="Cambria"/>
      <family val="2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52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sz val="12"/>
      <color theme="1"/>
      <name val="Times New Roman"/>
      <family val="2"/>
    </font>
    <font>
      <sz val="10"/>
      <color rgb="FFFF0000"/>
      <name val="Arial"/>
      <family val="2"/>
    </font>
    <font>
      <b/>
      <sz val="12"/>
      <color theme="1"/>
      <name val="Calibri"/>
      <family val="2"/>
      <scheme val="minor"/>
    </font>
    <font>
      <b/>
      <sz val="10"/>
      <color rgb="FFFF0000"/>
      <name val="Arial"/>
      <family val="2"/>
    </font>
    <font>
      <sz val="10"/>
      <color theme="0" tint="-0.249977111117893"/>
      <name val="Arial"/>
      <family val="2"/>
    </font>
    <font>
      <sz val="8"/>
      <color theme="0" tint="-0.249977111117893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0"/>
      <color rgb="FF0070C0"/>
      <name val="Arial"/>
      <family val="2"/>
    </font>
    <font>
      <sz val="10"/>
      <color rgb="FF0070C0"/>
      <name val="Arial"/>
      <family val="2"/>
    </font>
    <font>
      <b/>
      <sz val="10"/>
      <color rgb="FFC00000"/>
      <name val="Arial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Arial"/>
      <family val="2"/>
    </font>
    <font>
      <b/>
      <u/>
      <sz val="10"/>
      <name val="Arial"/>
      <family val="2"/>
    </font>
    <font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sz val="9"/>
      <color indexed="81"/>
      <name val="Segoe UI"/>
      <family val="2"/>
    </font>
    <font>
      <b/>
      <sz val="11"/>
      <color theme="0"/>
      <name val="Calibri"/>
      <family val="2"/>
    </font>
    <font>
      <sz val="11"/>
      <color theme="1"/>
      <name val="Calibri"/>
      <family val="2"/>
    </font>
    <font>
      <sz val="11"/>
      <name val="Calibri"/>
      <family val="2"/>
    </font>
    <font>
      <b/>
      <sz val="7"/>
      <name val="Calibri"/>
      <family val="2"/>
    </font>
    <font>
      <sz val="7"/>
      <name val="Arial"/>
      <family val="2"/>
    </font>
    <font>
      <sz val="7"/>
      <name val="Calibri"/>
      <family val="2"/>
    </font>
    <font>
      <b/>
      <sz val="7"/>
      <color theme="0"/>
      <name val="Arial"/>
      <family val="2"/>
    </font>
  </fonts>
  <fills count="6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3"/>
        <bgColor indexed="64"/>
      </patternFill>
    </fill>
    <fill>
      <patternFill patternType="gray0625">
        <fgColor indexed="23"/>
        <b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9"/>
        <bgColor indexed="64"/>
      </patternFill>
    </fill>
    <fill>
      <patternFill patternType="lightUp"/>
    </fill>
    <fill>
      <patternFill patternType="solid">
        <fgColor theme="0" tint="-4.9989318521683403E-2"/>
        <bgColor indexed="64"/>
      </patternFill>
    </fill>
    <fill>
      <patternFill patternType="gray0625">
        <fgColor indexed="23"/>
        <bgColor theme="0" tint="-4.9989318521683403E-2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2" tint="-0.249977111117893"/>
        <bgColor indexed="64"/>
      </patternFill>
    </fill>
  </fills>
  <borders count="11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23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medium">
        <color indexed="64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medium">
        <color indexed="64"/>
      </left>
      <right style="thin">
        <color theme="0"/>
      </right>
      <top/>
      <bottom style="thin">
        <color theme="0"/>
      </bottom>
      <diagonal/>
    </border>
    <border>
      <left style="medium">
        <color indexed="64"/>
      </left>
      <right style="thin">
        <color theme="0"/>
      </right>
      <top style="thin">
        <color theme="0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indexed="64"/>
      </bottom>
      <diagonal/>
    </border>
    <border>
      <left style="thin">
        <color theme="0"/>
      </left>
      <right style="medium">
        <color indexed="64"/>
      </right>
      <top/>
      <bottom style="thin">
        <color theme="0"/>
      </bottom>
      <diagonal/>
    </border>
    <border>
      <left style="thin">
        <color theme="0"/>
      </left>
      <right style="medium">
        <color indexed="64"/>
      </right>
      <top style="thin">
        <color theme="0"/>
      </top>
      <bottom style="medium">
        <color indexed="64"/>
      </bottom>
      <diagonal/>
    </border>
    <border>
      <left style="medium">
        <color indexed="64"/>
      </left>
      <right style="thin">
        <color theme="0"/>
      </right>
      <top/>
      <bottom style="medium">
        <color indexed="64"/>
      </bottom>
      <diagonal/>
    </border>
    <border>
      <left style="thin">
        <color theme="0"/>
      </left>
      <right style="thin">
        <color theme="0"/>
      </right>
      <top/>
      <bottom style="medium">
        <color indexed="64"/>
      </bottom>
      <diagonal/>
    </border>
    <border>
      <left style="thin">
        <color theme="0"/>
      </left>
      <right style="medium">
        <color indexed="64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theme="0"/>
      </bottom>
      <diagonal/>
    </border>
    <border>
      <left style="thin">
        <color theme="0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/>
      <top/>
      <bottom style="thin">
        <color theme="0"/>
      </bottom>
      <diagonal/>
    </border>
    <border>
      <left style="thin">
        <color theme="0"/>
      </left>
      <right style="medium">
        <color indexed="64"/>
      </right>
      <top style="thin">
        <color theme="0"/>
      </top>
      <bottom/>
      <diagonal/>
    </border>
    <border>
      <left style="medium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thin">
        <color theme="0"/>
      </right>
      <top style="thin">
        <color theme="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 style="thin">
        <color theme="0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49">
    <xf numFmtId="0" fontId="0" fillId="0" borderId="0"/>
    <xf numFmtId="0" fontId="58" fillId="2" borderId="0" applyNumberFormat="0" applyBorder="0" applyAlignment="0" applyProtection="0"/>
    <xf numFmtId="0" fontId="58" fillId="3" borderId="0" applyNumberFormat="0" applyBorder="0" applyAlignment="0" applyProtection="0"/>
    <xf numFmtId="0" fontId="58" fillId="4" borderId="0" applyNumberFormat="0" applyBorder="0" applyAlignment="0" applyProtection="0"/>
    <xf numFmtId="0" fontId="58" fillId="5" borderId="0" applyNumberFormat="0" applyBorder="0" applyAlignment="0" applyProtection="0"/>
    <xf numFmtId="0" fontId="58" fillId="6" borderId="0" applyNumberFormat="0" applyBorder="0" applyAlignment="0" applyProtection="0"/>
    <xf numFmtId="0" fontId="58" fillId="7" borderId="0" applyNumberFormat="0" applyBorder="0" applyAlignment="0" applyProtection="0"/>
    <xf numFmtId="0" fontId="58" fillId="2" borderId="0" applyNumberFormat="0" applyBorder="0" applyAlignment="0" applyProtection="0"/>
    <xf numFmtId="0" fontId="58" fillId="3" borderId="0" applyNumberFormat="0" applyBorder="0" applyAlignment="0" applyProtection="0"/>
    <xf numFmtId="0" fontId="58" fillId="4" borderId="0" applyNumberFormat="0" applyBorder="0" applyAlignment="0" applyProtection="0"/>
    <xf numFmtId="0" fontId="58" fillId="5" borderId="0" applyNumberFormat="0" applyBorder="0" applyAlignment="0" applyProtection="0"/>
    <xf numFmtId="0" fontId="58" fillId="6" borderId="0" applyNumberFormat="0" applyBorder="0" applyAlignment="0" applyProtection="0"/>
    <xf numFmtId="0" fontId="58" fillId="8" borderId="0" applyNumberFormat="0" applyBorder="0" applyAlignment="0" applyProtection="0"/>
    <xf numFmtId="0" fontId="58" fillId="9" borderId="0" applyNumberFormat="0" applyBorder="0" applyAlignment="0" applyProtection="0"/>
    <xf numFmtId="0" fontId="58" fillId="10" borderId="0" applyNumberFormat="0" applyBorder="0" applyAlignment="0" applyProtection="0"/>
    <xf numFmtId="0" fontId="58" fillId="11" borderId="0" applyNumberFormat="0" applyBorder="0" applyAlignment="0" applyProtection="0"/>
    <xf numFmtId="0" fontId="58" fillId="5" borderId="0" applyNumberFormat="0" applyBorder="0" applyAlignment="0" applyProtection="0"/>
    <xf numFmtId="0" fontId="58" fillId="9" borderId="0" applyNumberFormat="0" applyBorder="0" applyAlignment="0" applyProtection="0"/>
    <xf numFmtId="0" fontId="58" fillId="12" borderId="0" applyNumberFormat="0" applyBorder="0" applyAlignment="0" applyProtection="0"/>
    <xf numFmtId="0" fontId="58" fillId="9" borderId="0" applyNumberFormat="0" applyBorder="0" applyAlignment="0" applyProtection="0"/>
    <xf numFmtId="0" fontId="58" fillId="10" borderId="0" applyNumberFormat="0" applyBorder="0" applyAlignment="0" applyProtection="0"/>
    <xf numFmtId="0" fontId="58" fillId="11" borderId="0" applyNumberFormat="0" applyBorder="0" applyAlignment="0" applyProtection="0"/>
    <xf numFmtId="0" fontId="58" fillId="5" borderId="0" applyNumberFormat="0" applyBorder="0" applyAlignment="0" applyProtection="0"/>
    <xf numFmtId="0" fontId="58" fillId="9" borderId="0" applyNumberFormat="0" applyBorder="0" applyAlignment="0" applyProtection="0"/>
    <xf numFmtId="0" fontId="58" fillId="12" borderId="0" applyNumberFormat="0" applyBorder="0" applyAlignment="0" applyProtection="0"/>
    <xf numFmtId="0" fontId="63" fillId="13" borderId="0" applyNumberFormat="0" applyBorder="0" applyAlignment="0" applyProtection="0"/>
    <xf numFmtId="0" fontId="63" fillId="10" borderId="0" applyNumberFormat="0" applyBorder="0" applyAlignment="0" applyProtection="0"/>
    <xf numFmtId="0" fontId="63" fillId="11" borderId="0" applyNumberFormat="0" applyBorder="0" applyAlignment="0" applyProtection="0"/>
    <xf numFmtId="0" fontId="63" fillId="14" borderId="0" applyNumberFormat="0" applyBorder="0" applyAlignment="0" applyProtection="0"/>
    <xf numFmtId="0" fontId="63" fillId="15" borderId="0" applyNumberFormat="0" applyBorder="0" applyAlignment="0" applyProtection="0"/>
    <xf numFmtId="0" fontId="63" fillId="16" borderId="0" applyNumberFormat="0" applyBorder="0" applyAlignment="0" applyProtection="0"/>
    <xf numFmtId="0" fontId="63" fillId="13" borderId="0" applyNumberFormat="0" applyBorder="0" applyAlignment="0" applyProtection="0"/>
    <xf numFmtId="0" fontId="63" fillId="10" borderId="0" applyNumberFormat="0" applyBorder="0" applyAlignment="0" applyProtection="0"/>
    <xf numFmtId="0" fontId="63" fillId="11" borderId="0" applyNumberFormat="0" applyBorder="0" applyAlignment="0" applyProtection="0"/>
    <xf numFmtId="0" fontId="63" fillId="14" borderId="0" applyNumberFormat="0" applyBorder="0" applyAlignment="0" applyProtection="0"/>
    <xf numFmtId="0" fontId="63" fillId="15" borderId="0" applyNumberFormat="0" applyBorder="0" applyAlignment="0" applyProtection="0"/>
    <xf numFmtId="0" fontId="63" fillId="16" borderId="0" applyNumberFormat="0" applyBorder="0" applyAlignment="0" applyProtection="0"/>
    <xf numFmtId="37" fontId="11" fillId="0" borderId="0"/>
    <xf numFmtId="0" fontId="63" fillId="17" borderId="0" applyNumberFormat="0" applyBorder="0" applyAlignment="0" applyProtection="0"/>
    <xf numFmtId="0" fontId="63" fillId="18" borderId="0" applyNumberFormat="0" applyBorder="0" applyAlignment="0" applyProtection="0"/>
    <xf numFmtId="0" fontId="63" fillId="19" borderId="0" applyNumberFormat="0" applyBorder="0" applyAlignment="0" applyProtection="0"/>
    <xf numFmtId="0" fontId="63" fillId="14" borderId="0" applyNumberFormat="0" applyBorder="0" applyAlignment="0" applyProtection="0"/>
    <xf numFmtId="0" fontId="63" fillId="15" borderId="0" applyNumberFormat="0" applyBorder="0" applyAlignment="0" applyProtection="0"/>
    <xf numFmtId="0" fontId="63" fillId="20" borderId="0" applyNumberFormat="0" applyBorder="0" applyAlignment="0" applyProtection="0"/>
    <xf numFmtId="0" fontId="67" fillId="3" borderId="0" applyNumberFormat="0" applyBorder="0" applyAlignment="0" applyProtection="0"/>
    <xf numFmtId="0" fontId="64" fillId="4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65" fillId="8" borderId="1" applyNumberFormat="0" applyAlignment="0" applyProtection="0"/>
    <xf numFmtId="0" fontId="65" fillId="8" borderId="1" applyNumberFormat="0" applyAlignment="0" applyProtection="0"/>
    <xf numFmtId="0" fontId="56" fillId="21" borderId="2" applyNumberFormat="0" applyAlignment="0" applyProtection="0"/>
    <xf numFmtId="0" fontId="59" fillId="0" borderId="3" applyNumberFormat="0" applyFill="0" applyAlignment="0" applyProtection="0"/>
    <xf numFmtId="0" fontId="20" fillId="0" borderId="0" applyNumberFormat="0" applyFont="0" applyFill="0" applyBorder="0" applyProtection="0">
      <alignment horizontal="center" vertical="center" wrapText="1"/>
    </xf>
    <xf numFmtId="0" fontId="56" fillId="21" borderId="2" applyNumberFormat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5" fillId="0" borderId="0" applyFont="0" applyFill="0" applyBorder="0" applyAlignment="0" applyProtection="0"/>
    <xf numFmtId="167" fontId="11" fillId="0" borderId="0" applyFont="0" applyFill="0" applyBorder="0" applyAlignment="0" applyProtection="0"/>
    <xf numFmtId="168" fontId="21" fillId="0" borderId="0" applyFont="0" applyFill="0" applyBorder="0" applyAlignment="0" applyProtection="0"/>
    <xf numFmtId="0" fontId="63" fillId="17" borderId="0" applyNumberFormat="0" applyBorder="0" applyAlignment="0" applyProtection="0"/>
    <xf numFmtId="0" fontId="63" fillId="18" borderId="0" applyNumberFormat="0" applyBorder="0" applyAlignment="0" applyProtection="0"/>
    <xf numFmtId="0" fontId="63" fillId="19" borderId="0" applyNumberFormat="0" applyBorder="0" applyAlignment="0" applyProtection="0"/>
    <xf numFmtId="0" fontId="63" fillId="14" borderId="0" applyNumberFormat="0" applyBorder="0" applyAlignment="0" applyProtection="0"/>
    <xf numFmtId="0" fontId="63" fillId="15" borderId="0" applyNumberFormat="0" applyBorder="0" applyAlignment="0" applyProtection="0"/>
    <xf numFmtId="0" fontId="63" fillId="20" borderId="0" applyNumberFormat="0" applyBorder="0" applyAlignment="0" applyProtection="0"/>
    <xf numFmtId="0" fontId="66" fillId="8" borderId="1" applyNumberFormat="0" applyAlignment="0" applyProtection="0"/>
    <xf numFmtId="169" fontId="15" fillId="0" borderId="0" applyFont="0" applyFill="0" applyBorder="0" applyAlignment="0" applyProtection="0"/>
    <xf numFmtId="169" fontId="11" fillId="0" borderId="0" applyFont="0" applyFill="0" applyBorder="0" applyAlignment="0" applyProtection="0"/>
    <xf numFmtId="0" fontId="71" fillId="0" borderId="0" applyNumberFormat="0" applyFill="0" applyBorder="0" applyAlignment="0" applyProtection="0"/>
    <xf numFmtId="170" fontId="22" fillId="0" borderId="0"/>
    <xf numFmtId="0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0" fontId="64" fillId="4" borderId="0" applyNumberFormat="0" applyBorder="0" applyAlignment="0" applyProtection="0"/>
    <xf numFmtId="0" fontId="60" fillId="0" borderId="4" applyNumberFormat="0" applyFill="0" applyAlignment="0" applyProtection="0"/>
    <xf numFmtId="0" fontId="61" fillId="0" borderId="5" applyNumberFormat="0" applyFill="0" applyAlignment="0" applyProtection="0"/>
    <xf numFmtId="0" fontId="62" fillId="0" borderId="6" applyNumberFormat="0" applyFill="0" applyAlignment="0" applyProtection="0"/>
    <xf numFmtId="0" fontId="6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66" fillId="7" borderId="1" applyNumberFormat="0" applyAlignment="0" applyProtection="0"/>
    <xf numFmtId="0" fontId="59" fillId="0" borderId="3" applyNumberFormat="0" applyFill="0" applyAlignment="0" applyProtection="0"/>
    <xf numFmtId="166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38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1" fillId="0" borderId="0" applyFont="0" applyFill="0" applyBorder="0" applyAlignment="0" applyProtection="0"/>
    <xf numFmtId="44" fontId="72" fillId="0" borderId="0" applyFont="0" applyFill="0" applyBorder="0" applyAlignment="0" applyProtection="0"/>
    <xf numFmtId="171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3" fontId="15" fillId="0" borderId="0" applyFont="0" applyFill="0" applyBorder="0" applyAlignment="0" applyProtection="0"/>
    <xf numFmtId="173" fontId="11" fillId="0" borderId="0" applyFont="0" applyFill="0" applyBorder="0" applyAlignment="0" applyProtection="0"/>
    <xf numFmtId="0" fontId="68" fillId="22" borderId="0" applyNumberFormat="0" applyBorder="0" applyAlignment="0" applyProtection="0"/>
    <xf numFmtId="0" fontId="15" fillId="0" borderId="0"/>
    <xf numFmtId="0" fontId="11" fillId="0" borderId="0"/>
    <xf numFmtId="0" fontId="72" fillId="0" borderId="0"/>
    <xf numFmtId="0" fontId="21" fillId="0" borderId="7"/>
    <xf numFmtId="0" fontId="54" fillId="0" borderId="0"/>
    <xf numFmtId="0" fontId="11" fillId="0" borderId="0"/>
    <xf numFmtId="0" fontId="11" fillId="23" borderId="8" applyNumberFormat="0" applyFont="0" applyAlignment="0" applyProtection="0"/>
    <xf numFmtId="0" fontId="58" fillId="23" borderId="8" applyNumberFormat="0" applyFont="0" applyAlignment="0" applyProtection="0"/>
    <xf numFmtId="0" fontId="69" fillId="8" borderId="9" applyNumberFormat="0" applyAlignment="0" applyProtection="0"/>
    <xf numFmtId="9" fontId="11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3" fontId="25" fillId="0" borderId="0" applyFont="0" applyFill="0" applyBorder="0" applyAlignment="0" applyProtection="0"/>
    <xf numFmtId="4" fontId="26" fillId="24" borderId="10" applyBorder="0" applyProtection="0"/>
    <xf numFmtId="0" fontId="69" fillId="8" borderId="9" applyNumberFormat="0" applyAlignment="0" applyProtection="0"/>
    <xf numFmtId="41" fontId="7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60" fillId="0" borderId="4" applyNumberFormat="0" applyFill="0" applyAlignment="0" applyProtection="0"/>
    <xf numFmtId="0" fontId="61" fillId="0" borderId="5" applyNumberFormat="0" applyFill="0" applyAlignment="0" applyProtection="0"/>
    <xf numFmtId="0" fontId="62" fillId="0" borderId="6" applyNumberFormat="0" applyFill="0" applyAlignment="0" applyProtection="0"/>
    <xf numFmtId="0" fontId="6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7" fillId="0" borderId="11" applyNumberFormat="0" applyFill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72" fillId="0" borderId="0" applyFont="0" applyFill="0" applyBorder="0" applyAlignment="0" applyProtection="0"/>
    <xf numFmtId="0" fontId="70" fillId="0" borderId="0" applyNumberForma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8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1" fillId="0" borderId="0"/>
  </cellStyleXfs>
  <cellXfs count="946">
    <xf numFmtId="0" fontId="0" fillId="0" borderId="0" xfId="0"/>
    <xf numFmtId="0" fontId="12" fillId="0" borderId="0" xfId="0" applyFont="1"/>
    <xf numFmtId="0" fontId="15" fillId="0" borderId="0" xfId="93"/>
    <xf numFmtId="0" fontId="12" fillId="0" borderId="12" xfId="93" applyFont="1" applyBorder="1" applyAlignment="1">
      <alignment horizontal="center"/>
    </xf>
    <xf numFmtId="3" fontId="0" fillId="0" borderId="12" xfId="110" applyNumberFormat="1" applyFont="1" applyBorder="1" applyAlignment="1">
      <alignment horizontal="center"/>
    </xf>
    <xf numFmtId="0" fontId="28" fillId="0" borderId="0" xfId="93" applyFont="1"/>
    <xf numFmtId="0" fontId="13" fillId="0" borderId="0" xfId="93" applyFont="1"/>
    <xf numFmtId="0" fontId="17" fillId="0" borderId="0" xfId="93" applyFont="1" applyAlignment="1">
      <alignment horizontal="center" vertical="center"/>
    </xf>
    <xf numFmtId="0" fontId="0" fillId="0" borderId="12" xfId="0" applyBorder="1" applyAlignment="1">
      <alignment horizontal="left" indent="1"/>
    </xf>
    <xf numFmtId="174" fontId="0" fillId="0" borderId="12" xfId="122" applyNumberFormat="1" applyFont="1" applyBorder="1"/>
    <xf numFmtId="174" fontId="0" fillId="0" borderId="12" xfId="122" applyNumberFormat="1" applyFont="1" applyBorder="1" applyAlignment="1">
      <alignment horizontal="center"/>
    </xf>
    <xf numFmtId="0" fontId="0" fillId="0" borderId="12" xfId="0" applyBorder="1" applyAlignment="1">
      <alignment horizontal="left" indent="2"/>
    </xf>
    <xf numFmtId="174" fontId="0" fillId="0" borderId="12" xfId="122" applyNumberFormat="1" applyFont="1" applyBorder="1" applyAlignment="1">
      <alignment horizontal="left" indent="1"/>
    </xf>
    <xf numFmtId="174" fontId="12" fillId="0" borderId="12" xfId="122" applyNumberFormat="1" applyFont="1" applyBorder="1" applyAlignment="1">
      <alignment horizontal="left"/>
    </xf>
    <xf numFmtId="0" fontId="15" fillId="0" borderId="0" xfId="0" applyFont="1"/>
    <xf numFmtId="0" fontId="29" fillId="0" borderId="0" xfId="0" applyFont="1"/>
    <xf numFmtId="0" fontId="12" fillId="0" borderId="0" xfId="93" applyFont="1" applyAlignment="1">
      <alignment horizontal="center"/>
    </xf>
    <xf numFmtId="3" fontId="12" fillId="0" borderId="0" xfId="110" applyNumberFormat="1" applyFont="1" applyBorder="1" applyAlignment="1">
      <alignment horizontal="center"/>
    </xf>
    <xf numFmtId="174" fontId="12" fillId="0" borderId="0" xfId="122" applyNumberFormat="1" applyFont="1" applyBorder="1" applyAlignment="1">
      <alignment horizontal="center"/>
    </xf>
    <xf numFmtId="0" fontId="17" fillId="0" borderId="0" xfId="93" applyFont="1" applyAlignment="1">
      <alignment vertical="center"/>
    </xf>
    <xf numFmtId="0" fontId="13" fillId="0" borderId="0" xfId="93" applyFont="1" applyAlignment="1">
      <alignment horizontal="right"/>
    </xf>
    <xf numFmtId="0" fontId="12" fillId="25" borderId="12" xfId="93" applyFont="1" applyFill="1" applyBorder="1" applyAlignment="1">
      <alignment horizontal="center"/>
    </xf>
    <xf numFmtId="174" fontId="0" fillId="0" borderId="12" xfId="122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12" fillId="0" borderId="12" xfId="0" applyFont="1" applyBorder="1" applyAlignment="1">
      <alignment horizontal="left" vertical="center" indent="1"/>
    </xf>
    <xf numFmtId="0" fontId="0" fillId="0" borderId="0" xfId="0" applyAlignment="1">
      <alignment horizontal="center" vertical="center"/>
    </xf>
    <xf numFmtId="0" fontId="12" fillId="25" borderId="12" xfId="0" applyFont="1" applyFill="1" applyBorder="1" applyAlignment="1">
      <alignment horizontal="center" vertical="center"/>
    </xf>
    <xf numFmtId="174" fontId="12" fillId="0" borderId="12" xfId="122" applyNumberFormat="1" applyFont="1" applyBorder="1" applyAlignment="1">
      <alignment horizontal="left" vertical="center"/>
    </xf>
    <xf numFmtId="174" fontId="12" fillId="0" borderId="12" xfId="122" applyNumberFormat="1" applyFont="1" applyBorder="1" applyAlignment="1">
      <alignment horizontal="center" vertical="center"/>
    </xf>
    <xf numFmtId="0" fontId="15" fillId="0" borderId="12" xfId="0" applyFont="1" applyBorder="1" applyAlignment="1">
      <alignment horizontal="left" vertical="center" indent="1"/>
    </xf>
    <xf numFmtId="0" fontId="15" fillId="0" borderId="12" xfId="0" applyFont="1" applyBorder="1" applyAlignment="1">
      <alignment horizontal="left" vertical="center" indent="2"/>
    </xf>
    <xf numFmtId="0" fontId="0" fillId="0" borderId="0" xfId="0" applyAlignment="1">
      <alignment horizontal="left" vertical="center" indent="1"/>
    </xf>
    <xf numFmtId="0" fontId="11" fillId="0" borderId="12" xfId="0" applyFont="1" applyBorder="1" applyAlignment="1">
      <alignment horizontal="left" vertical="center" indent="2"/>
    </xf>
    <xf numFmtId="0" fontId="15" fillId="0" borderId="0" xfId="0" applyFont="1" applyAlignment="1">
      <alignment horizontal="left" vertical="center" indent="1"/>
    </xf>
    <xf numFmtId="0" fontId="12" fillId="26" borderId="12" xfId="0" applyFont="1" applyFill="1" applyBorder="1" applyAlignment="1">
      <alignment horizontal="left" vertical="center" indent="1"/>
    </xf>
    <xf numFmtId="174" fontId="12" fillId="26" borderId="12" xfId="122" applyNumberFormat="1" applyFont="1" applyFill="1" applyBorder="1" applyAlignment="1">
      <alignment horizontal="left" vertical="center"/>
    </xf>
    <xf numFmtId="174" fontId="12" fillId="26" borderId="12" xfId="122" applyNumberFormat="1" applyFont="1" applyFill="1" applyBorder="1" applyAlignment="1">
      <alignment horizontal="center" vertical="center"/>
    </xf>
    <xf numFmtId="0" fontId="12" fillId="26" borderId="13" xfId="0" applyFont="1" applyFill="1" applyBorder="1" applyAlignment="1">
      <alignment horizontal="left" vertical="center" wrapText="1" indent="1"/>
    </xf>
    <xf numFmtId="0" fontId="30" fillId="26" borderId="15" xfId="0" applyFont="1" applyFill="1" applyBorder="1" applyAlignment="1">
      <alignment horizontal="left" vertical="center" wrapText="1"/>
    </xf>
    <xf numFmtId="0" fontId="12" fillId="0" borderId="16" xfId="93" applyFont="1" applyBorder="1" applyAlignment="1">
      <alignment horizontal="right"/>
    </xf>
    <xf numFmtId="174" fontId="12" fillId="0" borderId="12" xfId="122" applyNumberFormat="1" applyFont="1" applyBorder="1" applyAlignment="1">
      <alignment vertical="center"/>
    </xf>
    <xf numFmtId="174" fontId="12" fillId="26" borderId="12" xfId="122" applyNumberFormat="1" applyFont="1" applyFill="1" applyBorder="1" applyAlignment="1">
      <alignment vertical="center"/>
    </xf>
    <xf numFmtId="10" fontId="12" fillId="26" borderId="12" xfId="102" applyNumberFormat="1" applyFont="1" applyFill="1" applyBorder="1" applyAlignment="1">
      <alignment horizontal="center" vertical="center"/>
    </xf>
    <xf numFmtId="0" fontId="12" fillId="26" borderId="12" xfId="0" applyFont="1" applyFill="1" applyBorder="1" applyAlignment="1">
      <alignment horizontal="left" vertical="center"/>
    </xf>
    <xf numFmtId="0" fontId="12" fillId="26" borderId="13" xfId="0" applyFont="1" applyFill="1" applyBorder="1" applyAlignment="1">
      <alignment horizontal="left" vertical="center" indent="1"/>
    </xf>
    <xf numFmtId="0" fontId="12" fillId="26" borderId="14" xfId="0" applyFont="1" applyFill="1" applyBorder="1" applyAlignment="1">
      <alignment horizontal="left" vertical="center" indent="1"/>
    </xf>
    <xf numFmtId="0" fontId="12" fillId="26" borderId="15" xfId="0" applyFont="1" applyFill="1" applyBorder="1" applyAlignment="1">
      <alignment horizontal="left" vertical="center" indent="1"/>
    </xf>
    <xf numFmtId="174" fontId="12" fillId="26" borderId="12" xfId="0" applyNumberFormat="1" applyFont="1" applyFill="1" applyBorder="1" applyAlignment="1">
      <alignment horizontal="left" vertical="center" indent="1"/>
    </xf>
    <xf numFmtId="0" fontId="0" fillId="0" borderId="12" xfId="0" applyBorder="1" applyAlignment="1">
      <alignment horizontal="left" vertical="center" indent="2"/>
    </xf>
    <xf numFmtId="174" fontId="0" fillId="0" borderId="12" xfId="122" applyNumberFormat="1" applyFont="1" applyBorder="1" applyAlignment="1">
      <alignment vertical="center"/>
    </xf>
    <xf numFmtId="174" fontId="0" fillId="0" borderId="12" xfId="122" quotePrefix="1" applyNumberFormat="1" applyFont="1" applyBorder="1" applyAlignment="1">
      <alignment vertical="center"/>
    </xf>
    <xf numFmtId="0" fontId="28" fillId="0" borderId="0" xfId="93" applyFont="1" applyAlignment="1">
      <alignment vertical="center"/>
    </xf>
    <xf numFmtId="174" fontId="15" fillId="0" borderId="12" xfId="122" applyNumberFormat="1" applyFont="1" applyBorder="1" applyAlignment="1">
      <alignment vertical="center"/>
    </xf>
    <xf numFmtId="174" fontId="12" fillId="26" borderId="12" xfId="122" applyNumberFormat="1" applyFont="1" applyFill="1" applyBorder="1" applyAlignment="1">
      <alignment horizontal="left" vertical="center" indent="1"/>
    </xf>
    <xf numFmtId="174" fontId="12" fillId="30" borderId="12" xfId="122" applyNumberFormat="1" applyFont="1" applyFill="1" applyBorder="1" applyAlignment="1">
      <alignment vertical="center"/>
    </xf>
    <xf numFmtId="0" fontId="12" fillId="30" borderId="12" xfId="93" applyFont="1" applyFill="1" applyBorder="1" applyAlignment="1">
      <alignment horizontal="center"/>
    </xf>
    <xf numFmtId="174" fontId="12" fillId="30" borderId="12" xfId="122" applyNumberFormat="1" applyFont="1" applyFill="1" applyBorder="1" applyAlignment="1">
      <alignment horizontal="center"/>
    </xf>
    <xf numFmtId="0" fontId="12" fillId="30" borderId="13" xfId="0" applyFont="1" applyFill="1" applyBorder="1" applyAlignment="1">
      <alignment horizontal="left" vertical="center" indent="1"/>
    </xf>
    <xf numFmtId="0" fontId="30" fillId="30" borderId="15" xfId="0" applyFont="1" applyFill="1" applyBorder="1" applyAlignment="1">
      <alignment horizontal="left" vertical="center" wrapText="1"/>
    </xf>
    <xf numFmtId="174" fontId="12" fillId="30" borderId="12" xfId="122" applyNumberFormat="1" applyFont="1" applyFill="1" applyBorder="1" applyAlignment="1">
      <alignment horizontal="left" vertical="center"/>
    </xf>
    <xf numFmtId="0" fontId="11" fillId="0" borderId="13" xfId="0" applyFont="1" applyBorder="1" applyAlignment="1">
      <alignment horizontal="left" vertical="center" indent="2"/>
    </xf>
    <xf numFmtId="0" fontId="11" fillId="0" borderId="15" xfId="0" applyFont="1" applyBorder="1" applyAlignment="1">
      <alignment horizontal="left" vertical="center" indent="1"/>
    </xf>
    <xf numFmtId="0" fontId="31" fillId="0" borderId="15" xfId="0" applyFont="1" applyBorder="1" applyAlignment="1">
      <alignment horizontal="left" vertical="center" indent="1"/>
    </xf>
    <xf numFmtId="174" fontId="12" fillId="0" borderId="12" xfId="122" applyNumberFormat="1" applyFont="1" applyBorder="1" applyAlignment="1">
      <alignment horizontal="left" indent="1"/>
    </xf>
    <xf numFmtId="174" fontId="11" fillId="0" borderId="12" xfId="122" applyNumberFormat="1" applyFont="1" applyBorder="1" applyAlignment="1">
      <alignment vertical="center"/>
    </xf>
    <xf numFmtId="174" fontId="12" fillId="0" borderId="0" xfId="93" applyNumberFormat="1" applyFont="1" applyAlignment="1">
      <alignment horizontal="center"/>
    </xf>
    <xf numFmtId="174" fontId="17" fillId="0" borderId="0" xfId="93" applyNumberFormat="1" applyFont="1" applyAlignment="1">
      <alignment horizontal="center" vertical="center"/>
    </xf>
    <xf numFmtId="174" fontId="12" fillId="0" borderId="0" xfId="93" applyNumberFormat="1" applyFont="1" applyAlignment="1">
      <alignment horizontal="center" vertical="center"/>
    </xf>
    <xf numFmtId="174" fontId="12" fillId="0" borderId="0" xfId="0" applyNumberFormat="1" applyFont="1" applyAlignment="1">
      <alignment horizontal="center"/>
    </xf>
    <xf numFmtId="174" fontId="0" fillId="0" borderId="0" xfId="0" applyNumberFormat="1"/>
    <xf numFmtId="174" fontId="0" fillId="0" borderId="12" xfId="122" applyNumberFormat="1" applyFont="1" applyFill="1" applyBorder="1"/>
    <xf numFmtId="175" fontId="12" fillId="31" borderId="12" xfId="93" applyNumberFormat="1" applyFont="1" applyFill="1" applyBorder="1" applyAlignment="1">
      <alignment horizontal="center"/>
    </xf>
    <xf numFmtId="174" fontId="15" fillId="0" borderId="0" xfId="93" applyNumberFormat="1"/>
    <xf numFmtId="2" fontId="15" fillId="0" borderId="0" xfId="93" applyNumberFormat="1"/>
    <xf numFmtId="3" fontId="0" fillId="0" borderId="12" xfId="110" applyNumberFormat="1" applyFont="1" applyFill="1" applyBorder="1" applyAlignment="1">
      <alignment horizontal="center"/>
    </xf>
    <xf numFmtId="3" fontId="15" fillId="0" borderId="0" xfId="93" applyNumberFormat="1"/>
    <xf numFmtId="0" fontId="12" fillId="0" borderId="0" xfId="0" applyFont="1" applyAlignment="1">
      <alignment horizontal="left" vertical="center" indent="1"/>
    </xf>
    <xf numFmtId="174" fontId="0" fillId="0" borderId="0" xfId="122" applyNumberFormat="1" applyFont="1"/>
    <xf numFmtId="174" fontId="12" fillId="0" borderId="0" xfId="0" applyNumberFormat="1" applyFont="1"/>
    <xf numFmtId="177" fontId="12" fillId="0" borderId="12" xfId="0" applyNumberFormat="1" applyFont="1" applyBorder="1" applyAlignment="1">
      <alignment horizontal="center"/>
    </xf>
    <xf numFmtId="174" fontId="15" fillId="0" borderId="0" xfId="0" applyNumberFormat="1" applyFont="1"/>
    <xf numFmtId="0" fontId="12" fillId="0" borderId="0" xfId="93" applyFont="1" applyAlignment="1">
      <alignment horizontal="right" vertical="center"/>
    </xf>
    <xf numFmtId="170" fontId="0" fillId="0" borderId="12" xfId="0" applyNumberFormat="1" applyBorder="1"/>
    <xf numFmtId="170" fontId="0" fillId="32" borderId="12" xfId="0" applyNumberFormat="1" applyFill="1" applyBorder="1"/>
    <xf numFmtId="0" fontId="34" fillId="0" borderId="0" xfId="0" applyFont="1"/>
    <xf numFmtId="9" fontId="12" fillId="33" borderId="17" xfId="93" applyNumberFormat="1" applyFont="1" applyFill="1" applyBorder="1" applyAlignment="1">
      <alignment horizontal="center" vertical="center"/>
    </xf>
    <xf numFmtId="177" fontId="12" fillId="33" borderId="17" xfId="122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right"/>
    </xf>
    <xf numFmtId="0" fontId="12" fillId="0" borderId="16" xfId="0" applyFont="1" applyBorder="1" applyAlignment="1">
      <alignment horizontal="center"/>
    </xf>
    <xf numFmtId="0" fontId="73" fillId="0" borderId="0" xfId="0" applyFont="1" applyAlignment="1">
      <alignment horizontal="center"/>
    </xf>
    <xf numFmtId="0" fontId="15" fillId="34" borderId="0" xfId="0" applyFont="1" applyFill="1"/>
    <xf numFmtId="174" fontId="12" fillId="0" borderId="0" xfId="122" applyNumberFormat="1" applyFont="1"/>
    <xf numFmtId="174" fontId="12" fillId="0" borderId="16" xfId="122" applyNumberFormat="1" applyFont="1" applyFill="1" applyBorder="1" applyAlignment="1">
      <alignment horizontal="right" vertical="center"/>
    </xf>
    <xf numFmtId="0" fontId="15" fillId="0" borderId="16" xfId="0" applyFont="1" applyBorder="1"/>
    <xf numFmtId="0" fontId="0" fillId="0" borderId="16" xfId="0" applyBorder="1"/>
    <xf numFmtId="10" fontId="32" fillId="27" borderId="12" xfId="102" applyNumberFormat="1" applyFont="1" applyFill="1" applyBorder="1" applyAlignment="1">
      <alignment vertical="center"/>
    </xf>
    <xf numFmtId="178" fontId="0" fillId="0" borderId="0" xfId="102" applyNumberFormat="1" applyFont="1"/>
    <xf numFmtId="0" fontId="11" fillId="0" borderId="0" xfId="0" applyFont="1" applyAlignment="1">
      <alignment horizontal="left" vertical="center" indent="1"/>
    </xf>
    <xf numFmtId="0" fontId="11" fillId="0" borderId="0" xfId="0" applyFont="1"/>
    <xf numFmtId="0" fontId="12" fillId="35" borderId="18" xfId="0" applyFont="1" applyFill="1" applyBorder="1" applyAlignment="1">
      <alignment horizontal="centerContinuous"/>
    </xf>
    <xf numFmtId="0" fontId="17" fillId="35" borderId="19" xfId="0" applyFont="1" applyFill="1" applyBorder="1" applyAlignment="1">
      <alignment horizontal="centerContinuous"/>
    </xf>
    <xf numFmtId="0" fontId="15" fillId="34" borderId="20" xfId="93" applyFill="1" applyBorder="1"/>
    <xf numFmtId="10" fontId="15" fillId="0" borderId="21" xfId="102" applyNumberFormat="1" applyFont="1" applyBorder="1" applyAlignment="1">
      <alignment horizontal="center"/>
    </xf>
    <xf numFmtId="10" fontId="15" fillId="0" borderId="22" xfId="102" applyNumberFormat="1" applyFont="1" applyBorder="1" applyAlignment="1">
      <alignment horizontal="center"/>
    </xf>
    <xf numFmtId="174" fontId="12" fillId="30" borderId="15" xfId="122" applyNumberFormat="1" applyFont="1" applyFill="1" applyBorder="1" applyAlignment="1">
      <alignment horizontal="center"/>
    </xf>
    <xf numFmtId="174" fontId="15" fillId="0" borderId="23" xfId="122" applyNumberFormat="1" applyFont="1" applyBorder="1"/>
    <xf numFmtId="174" fontId="15" fillId="0" borderId="24" xfId="122" applyNumberFormat="1" applyFont="1" applyBorder="1"/>
    <xf numFmtId="174" fontId="15" fillId="0" borderId="25" xfId="122" applyNumberFormat="1" applyFont="1" applyBorder="1"/>
    <xf numFmtId="0" fontId="74" fillId="35" borderId="62" xfId="0" applyFont="1" applyFill="1" applyBorder="1" applyAlignment="1">
      <alignment horizontal="center" vertical="top" wrapText="1"/>
    </xf>
    <xf numFmtId="0" fontId="74" fillId="35" borderId="63" xfId="0" applyFont="1" applyFill="1" applyBorder="1" applyAlignment="1">
      <alignment horizontal="center" vertical="top" wrapText="1"/>
    </xf>
    <xf numFmtId="0" fontId="74" fillId="35" borderId="64" xfId="0" applyFont="1" applyFill="1" applyBorder="1" applyAlignment="1">
      <alignment horizontal="center" vertical="top" wrapText="1"/>
    </xf>
    <xf numFmtId="9" fontId="74" fillId="35" borderId="63" xfId="0" applyNumberFormat="1" applyFont="1" applyFill="1" applyBorder="1" applyAlignment="1">
      <alignment horizontal="center" vertical="top" wrapText="1"/>
    </xf>
    <xf numFmtId="9" fontId="74" fillId="35" borderId="26" xfId="0" applyNumberFormat="1" applyFont="1" applyFill="1" applyBorder="1" applyAlignment="1">
      <alignment horizontal="center" vertical="top" wrapText="1"/>
    </xf>
    <xf numFmtId="178" fontId="12" fillId="0" borderId="15" xfId="102" applyNumberFormat="1" applyFont="1" applyBorder="1" applyAlignment="1">
      <alignment horizontal="center"/>
    </xf>
    <xf numFmtId="178" fontId="12" fillId="0" borderId="12" xfId="102" applyNumberFormat="1" applyFont="1" applyBorder="1" applyAlignment="1">
      <alignment horizontal="center"/>
    </xf>
    <xf numFmtId="178" fontId="12" fillId="0" borderId="12" xfId="0" applyNumberFormat="1" applyFont="1" applyBorder="1" applyAlignment="1">
      <alignment horizontal="center"/>
    </xf>
    <xf numFmtId="178" fontId="12" fillId="35" borderId="12" xfId="0" applyNumberFormat="1" applyFont="1" applyFill="1" applyBorder="1" applyAlignment="1">
      <alignment horizontal="center"/>
    </xf>
    <xf numFmtId="10" fontId="12" fillId="33" borderId="27" xfId="93" applyNumberFormat="1" applyFont="1" applyFill="1" applyBorder="1" applyAlignment="1">
      <alignment horizontal="center" vertical="center"/>
    </xf>
    <xf numFmtId="10" fontId="12" fillId="33" borderId="12" xfId="93" applyNumberFormat="1" applyFont="1" applyFill="1" applyBorder="1" applyAlignment="1">
      <alignment horizontal="center" vertical="center"/>
    </xf>
    <xf numFmtId="0" fontId="12" fillId="0" borderId="17" xfId="0" applyFont="1" applyBorder="1" applyAlignment="1">
      <alignment horizontal="left" indent="1"/>
    </xf>
    <xf numFmtId="9" fontId="12" fillId="33" borderId="17" xfId="0" applyNumberFormat="1" applyFont="1" applyFill="1" applyBorder="1" applyAlignment="1">
      <alignment horizontal="center"/>
    </xf>
    <xf numFmtId="9" fontId="12" fillId="33" borderId="28" xfId="0" applyNumberFormat="1" applyFont="1" applyFill="1" applyBorder="1" applyAlignment="1">
      <alignment horizontal="center"/>
    </xf>
    <xf numFmtId="9" fontId="12" fillId="0" borderId="17" xfId="0" applyNumberFormat="1" applyFont="1" applyBorder="1" applyAlignment="1">
      <alignment horizontal="center"/>
    </xf>
    <xf numFmtId="174" fontId="11" fillId="0" borderId="12" xfId="122" applyNumberFormat="1" applyFont="1" applyFill="1" applyBorder="1" applyAlignment="1">
      <alignment horizontal="left"/>
    </xf>
    <xf numFmtId="170" fontId="0" fillId="0" borderId="0" xfId="0" applyNumberFormat="1"/>
    <xf numFmtId="0" fontId="17" fillId="0" borderId="0" xfId="94" applyFont="1" applyAlignment="1">
      <alignment vertical="center"/>
    </xf>
    <xf numFmtId="0" fontId="11" fillId="0" borderId="0" xfId="94"/>
    <xf numFmtId="0" fontId="28" fillId="0" borderId="0" xfId="94" applyFont="1" applyAlignment="1">
      <alignment vertical="center"/>
    </xf>
    <xf numFmtId="0" fontId="13" fillId="0" borderId="0" xfId="94" applyFont="1"/>
    <xf numFmtId="0" fontId="13" fillId="0" borderId="0" xfId="94" applyFont="1" applyAlignment="1">
      <alignment horizontal="right"/>
    </xf>
    <xf numFmtId="0" fontId="12" fillId="25" borderId="12" xfId="94" applyFont="1" applyFill="1" applyBorder="1" applyAlignment="1">
      <alignment horizontal="center" vertical="center"/>
    </xf>
    <xf numFmtId="0" fontId="11" fillId="0" borderId="0" xfId="94" applyAlignment="1">
      <alignment vertical="center"/>
    </xf>
    <xf numFmtId="0" fontId="12" fillId="26" borderId="12" xfId="94" applyFont="1" applyFill="1" applyBorder="1" applyAlignment="1">
      <alignment horizontal="left" vertical="center" indent="1"/>
    </xf>
    <xf numFmtId="0" fontId="11" fillId="0" borderId="12" xfId="94" applyBorder="1" applyAlignment="1">
      <alignment horizontal="left" vertical="center" indent="3"/>
    </xf>
    <xf numFmtId="0" fontId="35" fillId="0" borderId="0" xfId="94" applyFont="1" applyAlignment="1">
      <alignment horizontal="right" indent="1"/>
    </xf>
    <xf numFmtId="174" fontId="12" fillId="0" borderId="0" xfId="94" applyNumberFormat="1" applyFont="1" applyAlignment="1">
      <alignment horizontal="center"/>
    </xf>
    <xf numFmtId="9" fontId="74" fillId="35" borderId="18" xfId="0" applyNumberFormat="1" applyFont="1" applyFill="1" applyBorder="1" applyAlignment="1">
      <alignment horizontal="center" vertical="top" wrapText="1"/>
    </xf>
    <xf numFmtId="0" fontId="74" fillId="35" borderId="29" xfId="0" applyFont="1" applyFill="1" applyBorder="1" applyAlignment="1">
      <alignment horizontal="center" vertical="top" wrapText="1"/>
    </xf>
    <xf numFmtId="43" fontId="0" fillId="0" borderId="0" xfId="122" applyFont="1"/>
    <xf numFmtId="179" fontId="12" fillId="25" borderId="12" xfId="122" applyNumberFormat="1" applyFont="1" applyFill="1" applyBorder="1"/>
    <xf numFmtId="174" fontId="0" fillId="0" borderId="12" xfId="122" applyNumberFormat="1" applyFont="1" applyFill="1" applyBorder="1" applyAlignment="1">
      <alignment horizontal="center"/>
    </xf>
    <xf numFmtId="174" fontId="11" fillId="0" borderId="12" xfId="122" applyNumberFormat="1" applyFont="1" applyFill="1" applyBorder="1" applyAlignment="1">
      <alignment horizontal="center"/>
    </xf>
    <xf numFmtId="174" fontId="12" fillId="0" borderId="12" xfId="122" applyNumberFormat="1" applyFont="1" applyFill="1" applyBorder="1" applyAlignment="1">
      <alignment horizontal="left" vertical="center"/>
    </xf>
    <xf numFmtId="174" fontId="12" fillId="0" borderId="29" xfId="0" applyNumberFormat="1" applyFont="1" applyBorder="1" applyAlignment="1">
      <alignment horizontal="center"/>
    </xf>
    <xf numFmtId="9" fontId="12" fillId="0" borderId="29" xfId="0" applyNumberFormat="1" applyFont="1" applyBorder="1" applyAlignment="1">
      <alignment horizontal="center"/>
    </xf>
    <xf numFmtId="174" fontId="11" fillId="0" borderId="0" xfId="0" applyNumberFormat="1" applyFont="1"/>
    <xf numFmtId="10" fontId="0" fillId="0" borderId="0" xfId="0" applyNumberFormat="1"/>
    <xf numFmtId="178" fontId="12" fillId="33" borderId="17" xfId="93" applyNumberFormat="1" applyFont="1" applyFill="1" applyBorder="1" applyAlignment="1">
      <alignment horizontal="center" vertical="center"/>
    </xf>
    <xf numFmtId="0" fontId="13" fillId="0" borderId="0" xfId="93" applyFont="1" applyAlignment="1">
      <alignment horizontal="left"/>
    </xf>
    <xf numFmtId="0" fontId="14" fillId="0" borderId="0" xfId="0" applyFont="1"/>
    <xf numFmtId="0" fontId="13" fillId="0" borderId="16" xfId="93" applyFont="1" applyBorder="1" applyAlignment="1">
      <alignment horizontal="left"/>
    </xf>
    <xf numFmtId="174" fontId="11" fillId="0" borderId="12" xfId="122" applyNumberFormat="1" applyFont="1" applyBorder="1" applyAlignment="1">
      <alignment horizontal="left"/>
    </xf>
    <xf numFmtId="10" fontId="11" fillId="33" borderId="12" xfId="93" applyNumberFormat="1" applyFont="1" applyFill="1" applyBorder="1" applyAlignment="1">
      <alignment horizontal="center" vertical="center"/>
    </xf>
    <xf numFmtId="174" fontId="11" fillId="0" borderId="12" xfId="122" applyNumberFormat="1" applyFont="1" applyFill="1" applyBorder="1" applyAlignment="1">
      <alignment horizontal="left" vertical="center"/>
    </xf>
    <xf numFmtId="0" fontId="17" fillId="0" borderId="0" xfId="93" applyFont="1" applyAlignment="1">
      <alignment vertical="center" wrapText="1"/>
    </xf>
    <xf numFmtId="0" fontId="12" fillId="30" borderId="12" xfId="0" applyFont="1" applyFill="1" applyBorder="1" applyAlignment="1">
      <alignment horizontal="left" vertical="center" indent="1"/>
    </xf>
    <xf numFmtId="0" fontId="32" fillId="27" borderId="12" xfId="0" applyFont="1" applyFill="1" applyBorder="1" applyAlignment="1">
      <alignment horizontal="left" vertical="center"/>
    </xf>
    <xf numFmtId="0" fontId="0" fillId="0" borderId="12" xfId="0" applyBorder="1" applyAlignment="1">
      <alignment horizontal="left" vertical="center" indent="1"/>
    </xf>
    <xf numFmtId="0" fontId="12" fillId="0" borderId="12" xfId="0" applyFont="1" applyBorder="1" applyAlignment="1">
      <alignment horizontal="left" vertical="center"/>
    </xf>
    <xf numFmtId="0" fontId="11" fillId="0" borderId="12" xfId="0" applyFont="1" applyBorder="1" applyAlignment="1">
      <alignment horizontal="left" vertical="center" indent="1"/>
    </xf>
    <xf numFmtId="0" fontId="12" fillId="35" borderId="0" xfId="0" applyFont="1" applyFill="1"/>
    <xf numFmtId="174" fontId="38" fillId="35" borderId="12" xfId="122" applyNumberFormat="1" applyFont="1" applyFill="1" applyBorder="1" applyAlignment="1">
      <alignment vertical="center"/>
    </xf>
    <xf numFmtId="183" fontId="0" fillId="0" borderId="0" xfId="102" applyNumberFormat="1" applyFont="1" applyAlignment="1">
      <alignment vertical="center"/>
    </xf>
    <xf numFmtId="183" fontId="32" fillId="27" borderId="12" xfId="102" applyNumberFormat="1" applyFont="1" applyFill="1" applyBorder="1" applyAlignment="1">
      <alignment horizontal="center" vertical="center"/>
    </xf>
    <xf numFmtId="183" fontId="0" fillId="0" borderId="0" xfId="0" applyNumberFormat="1" applyAlignment="1">
      <alignment vertical="center"/>
    </xf>
    <xf numFmtId="0" fontId="12" fillId="36" borderId="12" xfId="0" applyFont="1" applyFill="1" applyBorder="1" applyAlignment="1">
      <alignment horizontal="left" vertical="center" indent="1"/>
    </xf>
    <xf numFmtId="0" fontId="12" fillId="37" borderId="12" xfId="0" applyFont="1" applyFill="1" applyBorder="1" applyAlignment="1">
      <alignment horizontal="left" vertical="center" indent="1"/>
    </xf>
    <xf numFmtId="174" fontId="12" fillId="32" borderId="12" xfId="122" applyNumberFormat="1" applyFont="1" applyFill="1" applyBorder="1" applyAlignment="1">
      <alignment horizontal="left" vertical="center"/>
    </xf>
    <xf numFmtId="174" fontId="12" fillId="0" borderId="12" xfId="122" applyNumberFormat="1" applyFont="1" applyFill="1" applyBorder="1" applyAlignment="1">
      <alignment vertical="center"/>
    </xf>
    <xf numFmtId="174" fontId="15" fillId="0" borderId="12" xfId="122" applyNumberFormat="1" applyFont="1" applyFill="1" applyBorder="1" applyAlignment="1">
      <alignment vertical="center"/>
    </xf>
    <xf numFmtId="0" fontId="12" fillId="34" borderId="12" xfId="0" applyFont="1" applyFill="1" applyBorder="1" applyAlignment="1">
      <alignment vertical="center"/>
    </xf>
    <xf numFmtId="8" fontId="12" fillId="34" borderId="12" xfId="0" applyNumberFormat="1" applyFont="1" applyFill="1" applyBorder="1" applyAlignment="1">
      <alignment vertical="center"/>
    </xf>
    <xf numFmtId="10" fontId="12" fillId="34" borderId="12" xfId="0" applyNumberFormat="1" applyFont="1" applyFill="1" applyBorder="1" applyAlignment="1">
      <alignment horizontal="right" vertical="center"/>
    </xf>
    <xf numFmtId="180" fontId="12" fillId="34" borderId="12" xfId="0" applyNumberFormat="1" applyFont="1" applyFill="1" applyBorder="1" applyAlignment="1">
      <alignment vertical="center"/>
    </xf>
    <xf numFmtId="10" fontId="12" fillId="33" borderId="12" xfId="94" applyNumberFormat="1" applyFont="1" applyFill="1" applyBorder="1" applyAlignment="1">
      <alignment horizontal="center" vertical="center"/>
    </xf>
    <xf numFmtId="0" fontId="15" fillId="34" borderId="12" xfId="0" applyFont="1" applyFill="1" applyBorder="1" applyAlignment="1">
      <alignment horizontal="left" vertical="center" indent="2"/>
    </xf>
    <xf numFmtId="174" fontId="12" fillId="34" borderId="12" xfId="122" applyNumberFormat="1" applyFont="1" applyFill="1" applyBorder="1" applyAlignment="1">
      <alignment horizontal="left" indent="1"/>
    </xf>
    <xf numFmtId="174" fontId="38" fillId="34" borderId="12" xfId="122" applyNumberFormat="1" applyFont="1" applyFill="1" applyBorder="1" applyAlignment="1">
      <alignment horizontal="center"/>
    </xf>
    <xf numFmtId="174" fontId="38" fillId="0" borderId="12" xfId="122" applyNumberFormat="1" applyFont="1" applyFill="1" applyBorder="1" applyAlignment="1">
      <alignment vertical="center"/>
    </xf>
    <xf numFmtId="43" fontId="15" fillId="0" borderId="0" xfId="122" applyFont="1"/>
    <xf numFmtId="43" fontId="15" fillId="0" borderId="0" xfId="93" applyNumberFormat="1"/>
    <xf numFmtId="0" fontId="11" fillId="0" borderId="0" xfId="95" applyFont="1" applyAlignment="1">
      <alignment horizontal="center"/>
    </xf>
    <xf numFmtId="0" fontId="11" fillId="0" borderId="0" xfId="95" applyFont="1"/>
    <xf numFmtId="0" fontId="39" fillId="0" borderId="7" xfId="96" quotePrefix="1" applyFont="1" applyAlignment="1">
      <alignment horizontal="left"/>
    </xf>
    <xf numFmtId="0" fontId="11" fillId="0" borderId="30" xfId="95" applyFont="1" applyBorder="1"/>
    <xf numFmtId="0" fontId="14" fillId="0" borderId="0" xfId="95" applyFont="1" applyAlignment="1">
      <alignment horizontal="center"/>
    </xf>
    <xf numFmtId="0" fontId="14" fillId="0" borderId="0" xfId="95" applyFont="1"/>
    <xf numFmtId="0" fontId="72" fillId="0" borderId="0" xfId="95"/>
    <xf numFmtId="0" fontId="72" fillId="0" borderId="0" xfId="95" applyAlignment="1">
      <alignment horizontal="center" vertical="center" textRotation="90"/>
    </xf>
    <xf numFmtId="184" fontId="11" fillId="0" borderId="0" xfId="95" applyNumberFormat="1" applyFont="1" applyAlignment="1">
      <alignment horizontal="center"/>
    </xf>
    <xf numFmtId="182" fontId="11" fillId="0" borderId="0" xfId="103" applyNumberFormat="1" applyFont="1" applyBorder="1" applyAlignment="1">
      <alignment horizontal="center"/>
    </xf>
    <xf numFmtId="2" fontId="11" fillId="0" borderId="0" xfId="95" applyNumberFormat="1" applyFont="1" applyAlignment="1">
      <alignment horizontal="center"/>
    </xf>
    <xf numFmtId="10" fontId="11" fillId="0" borderId="0" xfId="103" applyNumberFormat="1" applyFont="1" applyBorder="1" applyAlignment="1">
      <alignment horizontal="center"/>
    </xf>
    <xf numFmtId="10" fontId="11" fillId="0" borderId="0" xfId="103" applyNumberFormat="1" applyFont="1" applyBorder="1" applyAlignment="1">
      <alignment horizontal="right"/>
    </xf>
    <xf numFmtId="181" fontId="11" fillId="0" borderId="0" xfId="103" applyNumberFormat="1" applyFont="1" applyBorder="1" applyAlignment="1"/>
    <xf numFmtId="0" fontId="11" fillId="28" borderId="0" xfId="95" applyFont="1" applyFill="1" applyAlignment="1">
      <alignment horizontal="left"/>
    </xf>
    <xf numFmtId="10" fontId="11" fillId="0" borderId="0" xfId="103" applyNumberFormat="1" applyFont="1"/>
    <xf numFmtId="0" fontId="72" fillId="28" borderId="0" xfId="95" applyFill="1" applyAlignment="1">
      <alignment horizontal="left"/>
    </xf>
    <xf numFmtId="2" fontId="14" fillId="28" borderId="0" xfId="95" applyNumberFormat="1" applyFont="1" applyFill="1" applyAlignment="1">
      <alignment horizontal="center"/>
    </xf>
    <xf numFmtId="10" fontId="14" fillId="28" borderId="0" xfId="103" applyNumberFormat="1" applyFont="1" applyFill="1" applyBorder="1" applyAlignment="1">
      <alignment horizontal="center"/>
    </xf>
    <xf numFmtId="184" fontId="11" fillId="0" borderId="0" xfId="95" applyNumberFormat="1" applyFont="1"/>
    <xf numFmtId="181" fontId="11" fillId="0" borderId="0" xfId="103" applyNumberFormat="1" applyFont="1"/>
    <xf numFmtId="0" fontId="40" fillId="0" borderId="31" xfId="96" quotePrefix="1" applyFont="1" applyBorder="1" applyAlignment="1">
      <alignment horizontal="left"/>
    </xf>
    <xf numFmtId="184" fontId="12" fillId="0" borderId="12" xfId="95" applyNumberFormat="1" applyFont="1" applyBorder="1" applyAlignment="1">
      <alignment horizontal="center" vertical="center"/>
    </xf>
    <xf numFmtId="174" fontId="12" fillId="38" borderId="12" xfId="122" applyNumberFormat="1" applyFont="1" applyFill="1" applyBorder="1" applyAlignment="1">
      <alignment horizontal="left" vertical="center"/>
    </xf>
    <xf numFmtId="174" fontId="12" fillId="34" borderId="12" xfId="122" applyNumberFormat="1" applyFont="1" applyFill="1" applyBorder="1" applyAlignment="1">
      <alignment horizontal="center" vertical="center"/>
    </xf>
    <xf numFmtId="174" fontId="12" fillId="34" borderId="12" xfId="122" applyNumberFormat="1" applyFont="1" applyFill="1" applyBorder="1" applyAlignment="1">
      <alignment vertical="center"/>
    </xf>
    <xf numFmtId="174" fontId="17" fillId="0" borderId="0" xfId="93" applyNumberFormat="1" applyFont="1" applyAlignment="1">
      <alignment vertical="center"/>
    </xf>
    <xf numFmtId="0" fontId="0" fillId="35" borderId="12" xfId="0" applyFill="1" applyBorder="1" applyAlignment="1">
      <alignment horizontal="left" vertical="center" indent="2"/>
    </xf>
    <xf numFmtId="174" fontId="0" fillId="0" borderId="13" xfId="122" applyNumberFormat="1" applyFont="1" applyBorder="1" applyAlignment="1">
      <alignment horizontal="center"/>
    </xf>
    <xf numFmtId="10" fontId="12" fillId="35" borderId="32" xfId="102" applyNumberFormat="1" applyFont="1" applyFill="1" applyBorder="1" applyAlignment="1">
      <alignment horizontal="center"/>
    </xf>
    <xf numFmtId="0" fontId="11" fillId="34" borderId="65" xfId="95" applyFont="1" applyFill="1" applyBorder="1" applyAlignment="1">
      <alignment horizontal="center" vertical="center"/>
    </xf>
    <xf numFmtId="0" fontId="11" fillId="34" borderId="65" xfId="95" applyFont="1" applyFill="1" applyBorder="1" applyAlignment="1">
      <alignment horizontal="left" vertical="center"/>
    </xf>
    <xf numFmtId="185" fontId="12" fillId="34" borderId="65" xfId="109" applyNumberFormat="1" applyFont="1" applyFill="1" applyBorder="1" applyAlignment="1">
      <alignment vertical="center"/>
    </xf>
    <xf numFmtId="166" fontId="11" fillId="34" borderId="65" xfId="109" applyNumberFormat="1" applyFont="1" applyFill="1" applyBorder="1" applyAlignment="1">
      <alignment vertical="center"/>
    </xf>
    <xf numFmtId="186" fontId="11" fillId="34" borderId="65" xfId="109" applyNumberFormat="1" applyFont="1" applyFill="1" applyBorder="1" applyAlignment="1">
      <alignment vertical="center"/>
    </xf>
    <xf numFmtId="185" fontId="11" fillId="34" borderId="65" xfId="109" applyNumberFormat="1" applyFont="1" applyFill="1" applyBorder="1" applyAlignment="1">
      <alignment vertical="center"/>
    </xf>
    <xf numFmtId="166" fontId="41" fillId="34" borderId="65" xfId="109" applyNumberFormat="1" applyFont="1" applyFill="1" applyBorder="1" applyAlignment="1">
      <alignment vertical="center"/>
    </xf>
    <xf numFmtId="0" fontId="11" fillId="34" borderId="66" xfId="95" applyFont="1" applyFill="1" applyBorder="1" applyAlignment="1">
      <alignment horizontal="center" vertical="center"/>
    </xf>
    <xf numFmtId="0" fontId="11" fillId="34" borderId="66" xfId="95" applyFont="1" applyFill="1" applyBorder="1" applyAlignment="1">
      <alignment horizontal="left" vertical="center"/>
    </xf>
    <xf numFmtId="185" fontId="12" fillId="34" borderId="66" xfId="109" applyNumberFormat="1" applyFont="1" applyFill="1" applyBorder="1" applyAlignment="1">
      <alignment vertical="center"/>
    </xf>
    <xf numFmtId="166" fontId="11" fillId="34" borderId="66" xfId="109" applyNumberFormat="1" applyFont="1" applyFill="1" applyBorder="1" applyAlignment="1">
      <alignment vertical="center"/>
    </xf>
    <xf numFmtId="166" fontId="11" fillId="34" borderId="67" xfId="95" applyNumberFormat="1" applyFont="1" applyFill="1" applyBorder="1" applyAlignment="1">
      <alignment horizontal="center"/>
    </xf>
    <xf numFmtId="188" fontId="11" fillId="34" borderId="68" xfId="95" applyNumberFormat="1" applyFont="1" applyFill="1" applyBorder="1" applyAlignment="1">
      <alignment horizontal="center"/>
    </xf>
    <xf numFmtId="0" fontId="11" fillId="34" borderId="69" xfId="95" applyFont="1" applyFill="1" applyBorder="1" applyAlignment="1">
      <alignment horizontal="center" vertical="center"/>
    </xf>
    <xf numFmtId="0" fontId="11" fillId="34" borderId="69" xfId="95" applyFont="1" applyFill="1" applyBorder="1" applyAlignment="1">
      <alignment horizontal="left" vertical="center"/>
    </xf>
    <xf numFmtId="166" fontId="11" fillId="34" borderId="69" xfId="109" applyNumberFormat="1" applyFont="1" applyFill="1" applyBorder="1" applyAlignment="1">
      <alignment vertical="center"/>
    </xf>
    <xf numFmtId="166" fontId="41" fillId="34" borderId="69" xfId="109" applyNumberFormat="1" applyFont="1" applyFill="1" applyBorder="1" applyAlignment="1">
      <alignment vertical="center"/>
    </xf>
    <xf numFmtId="0" fontId="12" fillId="0" borderId="0" xfId="95" applyFont="1" applyAlignment="1">
      <alignment horizontal="center"/>
    </xf>
    <xf numFmtId="186" fontId="76" fillId="0" borderId="65" xfId="109" applyNumberFormat="1" applyFont="1" applyFill="1" applyBorder="1" applyAlignment="1">
      <alignment horizontal="center" vertical="center"/>
    </xf>
    <xf numFmtId="186" fontId="76" fillId="0" borderId="69" xfId="109" applyNumberFormat="1" applyFont="1" applyFill="1" applyBorder="1" applyAlignment="1">
      <alignment horizontal="center" vertical="center"/>
    </xf>
    <xf numFmtId="0" fontId="77" fillId="0" borderId="70" xfId="95" applyFont="1" applyBorder="1"/>
    <xf numFmtId="0" fontId="77" fillId="0" borderId="71" xfId="95" applyFont="1" applyBorder="1"/>
    <xf numFmtId="0" fontId="76" fillId="0" borderId="0" xfId="95" applyFont="1" applyAlignment="1">
      <alignment horizontal="center"/>
    </xf>
    <xf numFmtId="186" fontId="11" fillId="34" borderId="66" xfId="109" applyNumberFormat="1" applyFont="1" applyFill="1" applyBorder="1" applyAlignment="1">
      <alignment horizontal="center" vertical="center"/>
    </xf>
    <xf numFmtId="186" fontId="11" fillId="34" borderId="65" xfId="109" applyNumberFormat="1" applyFont="1" applyFill="1" applyBorder="1" applyAlignment="1">
      <alignment horizontal="center" vertical="center"/>
    </xf>
    <xf numFmtId="186" fontId="11" fillId="34" borderId="69" xfId="109" applyNumberFormat="1" applyFont="1" applyFill="1" applyBorder="1" applyAlignment="1">
      <alignment horizontal="center" vertical="center"/>
    </xf>
    <xf numFmtId="0" fontId="12" fillId="0" borderId="33" xfId="0" applyFont="1" applyBorder="1" applyAlignment="1">
      <alignment vertical="center"/>
    </xf>
    <xf numFmtId="0" fontId="0" fillId="0" borderId="33" xfId="0" applyBorder="1" applyAlignment="1">
      <alignment vertical="center"/>
    </xf>
    <xf numFmtId="0" fontId="78" fillId="39" borderId="34" xfId="0" applyFont="1" applyFill="1" applyBorder="1" applyAlignment="1">
      <alignment vertical="center"/>
    </xf>
    <xf numFmtId="0" fontId="78" fillId="39" borderId="35" xfId="0" applyFont="1" applyFill="1" applyBorder="1" applyAlignment="1">
      <alignment vertical="center"/>
    </xf>
    <xf numFmtId="0" fontId="79" fillId="39" borderId="36" xfId="0" applyFont="1" applyFill="1" applyBorder="1" applyAlignment="1">
      <alignment vertical="center"/>
    </xf>
    <xf numFmtId="0" fontId="78" fillId="40" borderId="37" xfId="0" applyFont="1" applyFill="1" applyBorder="1" applyAlignment="1">
      <alignment vertical="center"/>
    </xf>
    <xf numFmtId="0" fontId="78" fillId="40" borderId="0" xfId="0" applyFont="1" applyFill="1" applyAlignment="1">
      <alignment horizontal="center" vertical="center"/>
    </xf>
    <xf numFmtId="0" fontId="78" fillId="40" borderId="38" xfId="0" applyFont="1" applyFill="1" applyBorder="1" applyAlignment="1">
      <alignment horizontal="center" vertical="center"/>
    </xf>
    <xf numFmtId="174" fontId="11" fillId="0" borderId="12" xfId="123" applyNumberFormat="1" applyFont="1" applyFill="1" applyBorder="1" applyAlignment="1">
      <alignment horizontal="left"/>
    </xf>
    <xf numFmtId="0" fontId="12" fillId="0" borderId="13" xfId="0" applyFont="1" applyBorder="1" applyAlignment="1">
      <alignment horizontal="left" vertical="center" indent="1"/>
    </xf>
    <xf numFmtId="0" fontId="30" fillId="0" borderId="15" xfId="0" applyFont="1" applyBorder="1" applyAlignment="1">
      <alignment horizontal="left" vertical="center" wrapText="1"/>
    </xf>
    <xf numFmtId="174" fontId="11" fillId="0" borderId="12" xfId="123" applyNumberFormat="1" applyFont="1" applyFill="1" applyBorder="1" applyAlignment="1">
      <alignment horizontal="left" vertical="center"/>
    </xf>
    <xf numFmtId="0" fontId="12" fillId="35" borderId="12" xfId="0" applyFont="1" applyFill="1" applyBorder="1" applyAlignment="1">
      <alignment horizontal="left" vertical="center" indent="1"/>
    </xf>
    <xf numFmtId="0" fontId="78" fillId="41" borderId="34" xfId="0" applyFont="1" applyFill="1" applyBorder="1" applyAlignment="1">
      <alignment vertical="center"/>
    </xf>
    <xf numFmtId="0" fontId="78" fillId="41" borderId="35" xfId="0" applyFont="1" applyFill="1" applyBorder="1" applyAlignment="1">
      <alignment vertical="center"/>
    </xf>
    <xf numFmtId="0" fontId="79" fillId="41" borderId="36" xfId="0" applyFont="1" applyFill="1" applyBorder="1" applyAlignment="1">
      <alignment vertical="center"/>
    </xf>
    <xf numFmtId="0" fontId="0" fillId="0" borderId="72" xfId="0" applyBorder="1" applyAlignment="1">
      <alignment vertical="center"/>
    </xf>
    <xf numFmtId="0" fontId="0" fillId="0" borderId="73" xfId="0" applyBorder="1" applyAlignment="1">
      <alignment vertical="center"/>
    </xf>
    <xf numFmtId="0" fontId="0" fillId="0" borderId="74" xfId="0" applyBorder="1" applyAlignment="1">
      <alignment vertical="center"/>
    </xf>
    <xf numFmtId="0" fontId="0" fillId="0" borderId="66" xfId="0" applyBorder="1" applyAlignment="1">
      <alignment vertical="center"/>
    </xf>
    <xf numFmtId="10" fontId="11" fillId="0" borderId="75" xfId="102" applyNumberFormat="1" applyFont="1" applyFill="1" applyBorder="1" applyAlignment="1">
      <alignment horizontal="center" vertical="center"/>
    </xf>
    <xf numFmtId="0" fontId="0" fillId="0" borderId="77" xfId="0" applyBorder="1" applyAlignment="1">
      <alignment vertical="center"/>
    </xf>
    <xf numFmtId="0" fontId="0" fillId="0" borderId="78" xfId="0" applyBorder="1" applyAlignment="1">
      <alignment vertical="center"/>
    </xf>
    <xf numFmtId="0" fontId="80" fillId="34" borderId="79" xfId="0" applyFont="1" applyFill="1" applyBorder="1" applyAlignment="1">
      <alignment horizontal="center" vertical="center"/>
    </xf>
    <xf numFmtId="14" fontId="80" fillId="34" borderId="76" xfId="109" applyNumberFormat="1" applyFont="1" applyFill="1" applyBorder="1" applyAlignment="1">
      <alignment horizontal="center" vertical="center"/>
    </xf>
    <xf numFmtId="174" fontId="11" fillId="35" borderId="12" xfId="122" applyNumberFormat="1" applyFont="1" applyFill="1" applyBorder="1" applyAlignment="1">
      <alignment horizontal="center"/>
    </xf>
    <xf numFmtId="174" fontId="11" fillId="35" borderId="12" xfId="123" applyNumberFormat="1" applyFont="1" applyFill="1" applyBorder="1" applyAlignment="1">
      <alignment horizontal="center"/>
    </xf>
    <xf numFmtId="174" fontId="11" fillId="34" borderId="12" xfId="122" applyNumberFormat="1" applyFont="1" applyFill="1" applyBorder="1" applyAlignment="1">
      <alignment horizontal="center"/>
    </xf>
    <xf numFmtId="0" fontId="78" fillId="39" borderId="35" xfId="0" applyFont="1" applyFill="1" applyBorder="1" applyAlignment="1">
      <alignment horizontal="center" vertical="center"/>
    </xf>
    <xf numFmtId="0" fontId="78" fillId="39" borderId="36" xfId="0" applyFont="1" applyFill="1" applyBorder="1" applyAlignment="1">
      <alignment horizontal="center" vertical="center"/>
    </xf>
    <xf numFmtId="0" fontId="0" fillId="0" borderId="80" xfId="0" applyBorder="1" applyAlignment="1">
      <alignment vertical="center"/>
    </xf>
    <xf numFmtId="0" fontId="0" fillId="0" borderId="81" xfId="0" applyBorder="1" applyAlignment="1">
      <alignment vertical="center"/>
    </xf>
    <xf numFmtId="191" fontId="81" fillId="34" borderId="82" xfId="122" applyNumberFormat="1" applyFont="1" applyFill="1" applyBorder="1" applyAlignment="1">
      <alignment horizontal="center" vertical="center"/>
    </xf>
    <xf numFmtId="10" fontId="12" fillId="35" borderId="83" xfId="102" applyNumberFormat="1" applyFont="1" applyFill="1" applyBorder="1" applyAlignment="1">
      <alignment horizontal="center"/>
    </xf>
    <xf numFmtId="0" fontId="11" fillId="0" borderId="77" xfId="0" applyFont="1" applyBorder="1" applyAlignment="1">
      <alignment vertical="center"/>
    </xf>
    <xf numFmtId="191" fontId="81" fillId="34" borderId="84" xfId="122" applyNumberFormat="1" applyFont="1" applyFill="1" applyBorder="1" applyAlignment="1">
      <alignment horizontal="center" vertical="center"/>
    </xf>
    <xf numFmtId="190" fontId="0" fillId="0" borderId="0" xfId="0" applyNumberFormat="1" applyAlignment="1">
      <alignment vertical="center"/>
    </xf>
    <xf numFmtId="0" fontId="73" fillId="0" borderId="0" xfId="0" applyFont="1"/>
    <xf numFmtId="1" fontId="78" fillId="0" borderId="0" xfId="93" applyNumberFormat="1" applyFont="1" applyAlignment="1">
      <alignment horizontal="right" vertical="center"/>
    </xf>
    <xf numFmtId="0" fontId="11" fillId="0" borderId="80" xfId="0" applyFont="1" applyBorder="1" applyAlignment="1">
      <alignment vertical="center"/>
    </xf>
    <xf numFmtId="43" fontId="12" fillId="0" borderId="0" xfId="122" applyFont="1" applyAlignment="1">
      <alignment vertical="center"/>
    </xf>
    <xf numFmtId="14" fontId="81" fillId="34" borderId="82" xfId="122" applyNumberFormat="1" applyFont="1" applyFill="1" applyBorder="1" applyAlignment="1">
      <alignment horizontal="center" vertical="center"/>
    </xf>
    <xf numFmtId="174" fontId="0" fillId="0" borderId="0" xfId="0" applyNumberFormat="1" applyAlignment="1">
      <alignment vertical="center"/>
    </xf>
    <xf numFmtId="0" fontId="11" fillId="29" borderId="80" xfId="0" applyFont="1" applyFill="1" applyBorder="1" applyAlignment="1">
      <alignment vertical="center"/>
    </xf>
    <xf numFmtId="0" fontId="0" fillId="29" borderId="81" xfId="0" applyFill="1" applyBorder="1" applyAlignment="1">
      <alignment vertical="center"/>
    </xf>
    <xf numFmtId="17" fontId="0" fillId="0" borderId="0" xfId="0" applyNumberFormat="1"/>
    <xf numFmtId="195" fontId="81" fillId="43" borderId="84" xfId="122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12" fillId="0" borderId="0" xfId="0" applyFont="1" applyAlignment="1">
      <alignment horizontal="center" wrapText="1"/>
    </xf>
    <xf numFmtId="174" fontId="29" fillId="0" borderId="0" xfId="0" applyNumberFormat="1" applyFont="1"/>
    <xf numFmtId="193" fontId="0" fillId="0" borderId="0" xfId="0" applyNumberFormat="1"/>
    <xf numFmtId="196" fontId="29" fillId="0" borderId="0" xfId="102" applyNumberFormat="1" applyFont="1"/>
    <xf numFmtId="9" fontId="11" fillId="0" borderId="0" xfId="102" applyFont="1"/>
    <xf numFmtId="0" fontId="0" fillId="43" borderId="0" xfId="0" applyFill="1" applyAlignment="1">
      <alignment vertical="center"/>
    </xf>
    <xf numFmtId="0" fontId="11" fillId="43" borderId="0" xfId="0" applyFont="1" applyFill="1" applyAlignment="1">
      <alignment vertical="center"/>
    </xf>
    <xf numFmtId="199" fontId="43" fillId="43" borderId="0" xfId="84" applyNumberFormat="1" applyFont="1" applyFill="1" applyBorder="1" applyAlignment="1">
      <alignment vertical="center"/>
    </xf>
    <xf numFmtId="199" fontId="12" fillId="43" borderId="0" xfId="84" applyNumberFormat="1" applyFont="1" applyFill="1" applyBorder="1" applyAlignment="1">
      <alignment vertical="center"/>
    </xf>
    <xf numFmtId="0" fontId="11" fillId="43" borderId="0" xfId="0" applyFont="1" applyFill="1" applyAlignment="1">
      <alignment horizontal="center" vertical="center"/>
    </xf>
    <xf numFmtId="196" fontId="44" fillId="43" borderId="0" xfId="122" applyNumberFormat="1" applyFont="1" applyFill="1" applyBorder="1" applyAlignment="1">
      <alignment vertical="center"/>
    </xf>
    <xf numFmtId="184" fontId="0" fillId="43" borderId="0" xfId="0" applyNumberFormat="1" applyFill="1" applyAlignment="1">
      <alignment horizontal="center" vertical="center"/>
    </xf>
    <xf numFmtId="184" fontId="11" fillId="43" borderId="0" xfId="0" applyNumberFormat="1" applyFont="1" applyFill="1" applyAlignment="1">
      <alignment vertical="center"/>
    </xf>
    <xf numFmtId="201" fontId="43" fillId="43" borderId="0" xfId="84" applyNumberFormat="1" applyFont="1" applyFill="1" applyBorder="1" applyAlignment="1">
      <alignment vertical="center"/>
    </xf>
    <xf numFmtId="174" fontId="11" fillId="0" borderId="12" xfId="123" applyNumberFormat="1" applyFont="1" applyFill="1" applyBorder="1" applyAlignment="1">
      <alignment horizontal="center"/>
    </xf>
    <xf numFmtId="195" fontId="81" fillId="34" borderId="84" xfId="122" applyNumberFormat="1" applyFont="1" applyFill="1" applyBorder="1" applyAlignment="1">
      <alignment horizontal="center" vertical="center"/>
    </xf>
    <xf numFmtId="0" fontId="79" fillId="0" borderId="33" xfId="0" applyFont="1" applyBorder="1" applyAlignment="1">
      <alignment vertical="center"/>
    </xf>
    <xf numFmtId="0" fontId="79" fillId="0" borderId="0" xfId="0" applyFont="1" applyAlignment="1">
      <alignment vertical="center"/>
    </xf>
    <xf numFmtId="203" fontId="79" fillId="0" borderId="0" xfId="0" applyNumberFormat="1" applyFont="1" applyAlignment="1">
      <alignment vertical="center"/>
    </xf>
    <xf numFmtId="14" fontId="79" fillId="0" borderId="0" xfId="0" applyNumberFormat="1" applyFont="1" applyAlignment="1">
      <alignment vertical="center"/>
    </xf>
    <xf numFmtId="189" fontId="79" fillId="0" borderId="0" xfId="0" applyNumberFormat="1" applyFont="1" applyAlignment="1">
      <alignment vertical="center"/>
    </xf>
    <xf numFmtId="17" fontId="79" fillId="0" borderId="0" xfId="0" applyNumberFormat="1" applyFont="1" applyAlignment="1">
      <alignment vertical="center"/>
    </xf>
    <xf numFmtId="184" fontId="79" fillId="43" borderId="0" xfId="0" applyNumberFormat="1" applyFont="1" applyFill="1" applyAlignment="1">
      <alignment horizontal="center" vertical="center"/>
    </xf>
    <xf numFmtId="0" fontId="79" fillId="43" borderId="0" xfId="0" applyFont="1" applyFill="1" applyAlignment="1">
      <alignment vertical="center"/>
    </xf>
    <xf numFmtId="189" fontId="79" fillId="43" borderId="0" xfId="0" applyNumberFormat="1" applyFont="1" applyFill="1" applyAlignment="1">
      <alignment vertical="center"/>
    </xf>
    <xf numFmtId="0" fontId="0" fillId="0" borderId="37" xfId="0" applyBorder="1" applyAlignment="1">
      <alignment vertical="center"/>
    </xf>
    <xf numFmtId="10" fontId="81" fillId="34" borderId="38" xfId="102" applyNumberFormat="1" applyFont="1" applyFill="1" applyBorder="1" applyAlignment="1">
      <alignment horizontal="center" vertical="center"/>
    </xf>
    <xf numFmtId="10" fontId="81" fillId="34" borderId="0" xfId="102" applyNumberFormat="1" applyFont="1" applyFill="1" applyBorder="1" applyAlignment="1">
      <alignment horizontal="center" vertical="center"/>
    </xf>
    <xf numFmtId="194" fontId="0" fillId="0" borderId="0" xfId="0" applyNumberFormat="1" applyAlignment="1">
      <alignment vertical="center"/>
    </xf>
    <xf numFmtId="191" fontId="81" fillId="0" borderId="82" xfId="122" applyNumberFormat="1" applyFont="1" applyFill="1" applyBorder="1" applyAlignment="1">
      <alignment horizontal="center" vertical="center"/>
    </xf>
    <xf numFmtId="187" fontId="11" fillId="0" borderId="0" xfId="94" applyNumberFormat="1"/>
    <xf numFmtId="10" fontId="12" fillId="35" borderId="12" xfId="102" applyNumberFormat="1" applyFont="1" applyFill="1" applyBorder="1"/>
    <xf numFmtId="205" fontId="81" fillId="34" borderId="84" xfId="122" applyNumberFormat="1" applyFont="1" applyFill="1" applyBorder="1" applyAlignment="1">
      <alignment horizontal="center" vertical="center"/>
    </xf>
    <xf numFmtId="0" fontId="46" fillId="35" borderId="19" xfId="0" applyFont="1" applyFill="1" applyBorder="1" applyAlignment="1">
      <alignment horizontal="center"/>
    </xf>
    <xf numFmtId="0" fontId="81" fillId="34" borderId="65" xfId="0" applyFont="1" applyFill="1" applyBorder="1" applyAlignment="1">
      <alignment horizontal="center" vertical="center"/>
    </xf>
    <xf numFmtId="0" fontId="11" fillId="0" borderId="86" xfId="0" applyFont="1" applyBorder="1" applyAlignment="1">
      <alignment vertical="center"/>
    </xf>
    <xf numFmtId="0" fontId="80" fillId="34" borderId="87" xfId="0" applyFont="1" applyFill="1" applyBorder="1" applyAlignment="1">
      <alignment horizontal="center" vertical="center"/>
    </xf>
    <xf numFmtId="0" fontId="0" fillId="44" borderId="88" xfId="0" applyFill="1" applyBorder="1" applyAlignment="1">
      <alignment vertical="center"/>
    </xf>
    <xf numFmtId="0" fontId="0" fillId="44" borderId="65" xfId="0" applyFill="1" applyBorder="1" applyAlignment="1">
      <alignment vertical="center"/>
    </xf>
    <xf numFmtId="0" fontId="0" fillId="44" borderId="89" xfId="0" applyFill="1" applyBorder="1" applyAlignment="1">
      <alignment vertical="center"/>
    </xf>
    <xf numFmtId="0" fontId="0" fillId="44" borderId="69" xfId="0" applyFill="1" applyBorder="1" applyAlignment="1">
      <alignment vertical="center"/>
    </xf>
    <xf numFmtId="0" fontId="0" fillId="45" borderId="89" xfId="0" applyFill="1" applyBorder="1" applyAlignment="1">
      <alignment vertical="center"/>
    </xf>
    <xf numFmtId="0" fontId="0" fillId="45" borderId="69" xfId="0" applyFill="1" applyBorder="1" applyAlignment="1">
      <alignment vertical="center"/>
    </xf>
    <xf numFmtId="0" fontId="0" fillId="45" borderId="73" xfId="0" applyFill="1" applyBorder="1" applyAlignment="1">
      <alignment vertical="center"/>
    </xf>
    <xf numFmtId="0" fontId="0" fillId="45" borderId="74" xfId="0" applyFill="1" applyBorder="1" applyAlignment="1">
      <alignment vertical="center"/>
    </xf>
    <xf numFmtId="166" fontId="11" fillId="46" borderId="65" xfId="109" applyNumberFormat="1" applyFont="1" applyFill="1" applyBorder="1" applyAlignment="1">
      <alignment vertical="center"/>
    </xf>
    <xf numFmtId="186" fontId="11" fillId="46" borderId="65" xfId="109" applyNumberFormat="1" applyFont="1" applyFill="1" applyBorder="1" applyAlignment="1">
      <alignment horizontal="center" vertical="center"/>
    </xf>
    <xf numFmtId="186" fontId="11" fillId="46" borderId="66" xfId="109" applyNumberFormat="1" applyFont="1" applyFill="1" applyBorder="1" applyAlignment="1">
      <alignment horizontal="center" vertical="center"/>
    </xf>
    <xf numFmtId="0" fontId="11" fillId="45" borderId="0" xfId="95" applyFont="1" applyFill="1"/>
    <xf numFmtId="14" fontId="80" fillId="34" borderId="87" xfId="0" applyNumberFormat="1" applyFont="1" applyFill="1" applyBorder="1" applyAlignment="1">
      <alignment horizontal="center" vertical="center"/>
    </xf>
    <xf numFmtId="185" fontId="11" fillId="34" borderId="68" xfId="95" applyNumberFormat="1" applyFont="1" applyFill="1" applyBorder="1" applyAlignment="1">
      <alignment horizontal="center"/>
    </xf>
    <xf numFmtId="4" fontId="48" fillId="0" borderId="0" xfId="0" applyNumberFormat="1" applyFont="1"/>
    <xf numFmtId="0" fontId="48" fillId="0" borderId="0" xfId="0" applyFont="1"/>
    <xf numFmtId="0" fontId="49" fillId="0" borderId="40" xfId="0" applyFont="1" applyBorder="1"/>
    <xf numFmtId="2" fontId="49" fillId="0" borderId="40" xfId="0" applyNumberFormat="1" applyFont="1" applyBorder="1"/>
    <xf numFmtId="4" fontId="49" fillId="0" borderId="40" xfId="0" applyNumberFormat="1" applyFont="1" applyBorder="1" applyAlignment="1">
      <alignment horizontal="right"/>
    </xf>
    <xf numFmtId="0" fontId="49" fillId="0" borderId="0" xfId="0" applyFont="1"/>
    <xf numFmtId="0" fontId="50" fillId="0" borderId="41" xfId="0" applyFont="1" applyBorder="1"/>
    <xf numFmtId="2" fontId="50" fillId="0" borderId="0" xfId="0" applyNumberFormat="1" applyFont="1"/>
    <xf numFmtId="0" fontId="50" fillId="0" borderId="42" xfId="0" applyFont="1" applyBorder="1"/>
    <xf numFmtId="0" fontId="50" fillId="0" borderId="0" xfId="0" applyFont="1"/>
    <xf numFmtId="4" fontId="50" fillId="0" borderId="0" xfId="0" applyNumberFormat="1" applyFont="1"/>
    <xf numFmtId="0" fontId="51" fillId="0" borderId="0" xfId="0" applyFont="1"/>
    <xf numFmtId="0" fontId="50" fillId="0" borderId="0" xfId="0" applyFont="1" applyAlignment="1">
      <alignment horizontal="center"/>
    </xf>
    <xf numFmtId="0" fontId="50" fillId="0" borderId="42" xfId="0" applyFont="1" applyBorder="1" applyAlignment="1">
      <alignment horizontal="center"/>
    </xf>
    <xf numFmtId="2" fontId="50" fillId="0" borderId="42" xfId="0" applyNumberFormat="1" applyFont="1" applyBorder="1" applyAlignment="1">
      <alignment horizontal="center"/>
    </xf>
    <xf numFmtId="2" fontId="50" fillId="0" borderId="43" xfId="0" applyNumberFormat="1" applyFont="1" applyBorder="1" applyAlignment="1">
      <alignment horizontal="center"/>
    </xf>
    <xf numFmtId="0" fontId="50" fillId="0" borderId="44" xfId="0" applyFont="1" applyBorder="1" applyAlignment="1">
      <alignment horizontal="center"/>
    </xf>
    <xf numFmtId="49" fontId="50" fillId="0" borderId="0" xfId="0" applyNumberFormat="1" applyFont="1" applyAlignment="1">
      <alignment horizontal="center"/>
    </xf>
    <xf numFmtId="0" fontId="50" fillId="0" borderId="45" xfId="0" applyFont="1" applyBorder="1" applyAlignment="1">
      <alignment horizontal="center"/>
    </xf>
    <xf numFmtId="2" fontId="50" fillId="0" borderId="45" xfId="0" applyNumberFormat="1" applyFont="1" applyBorder="1" applyAlignment="1">
      <alignment horizontal="center"/>
    </xf>
    <xf numFmtId="0" fontId="50" fillId="0" borderId="46" xfId="0" applyFont="1" applyBorder="1" applyAlignment="1">
      <alignment horizontal="center"/>
    </xf>
    <xf numFmtId="0" fontId="50" fillId="0" borderId="47" xfId="0" applyFont="1" applyBorder="1" applyAlignment="1">
      <alignment horizontal="center"/>
    </xf>
    <xf numFmtId="4" fontId="50" fillId="0" borderId="47" xfId="0" applyNumberFormat="1" applyFont="1" applyBorder="1" applyAlignment="1">
      <alignment horizontal="center"/>
    </xf>
    <xf numFmtId="0" fontId="52" fillId="0" borderId="41" xfId="0" applyFont="1" applyBorder="1" applyAlignment="1">
      <alignment horizontal="center"/>
    </xf>
    <xf numFmtId="2" fontId="52" fillId="0" borderId="41" xfId="0" applyNumberFormat="1" applyFont="1" applyBorder="1" applyAlignment="1">
      <alignment horizontal="center"/>
    </xf>
    <xf numFmtId="0" fontId="52" fillId="0" borderId="0" xfId="0" applyFont="1" applyAlignment="1">
      <alignment horizontal="center"/>
    </xf>
    <xf numFmtId="0" fontId="52" fillId="0" borderId="42" xfId="0" applyFont="1" applyBorder="1" applyAlignment="1">
      <alignment horizontal="center"/>
    </xf>
    <xf numFmtId="4" fontId="52" fillId="0" borderId="42" xfId="0" applyNumberFormat="1" applyFont="1" applyBorder="1" applyAlignment="1">
      <alignment horizontal="center"/>
    </xf>
    <xf numFmtId="0" fontId="49" fillId="0" borderId="42" xfId="0" applyFont="1" applyBorder="1" applyAlignment="1">
      <alignment horizontal="center"/>
    </xf>
    <xf numFmtId="2" fontId="49" fillId="0" borderId="42" xfId="0" applyNumberFormat="1" applyFont="1" applyBorder="1" applyAlignment="1">
      <alignment horizontal="right"/>
    </xf>
    <xf numFmtId="4" fontId="49" fillId="0" borderId="42" xfId="0" applyNumberFormat="1" applyFont="1" applyBorder="1" applyAlignment="1">
      <alignment horizontal="right"/>
    </xf>
    <xf numFmtId="0" fontId="49" fillId="0" borderId="41" xfId="0" applyFont="1" applyBorder="1"/>
    <xf numFmtId="2" fontId="52" fillId="0" borderId="41" xfId="0" applyNumberFormat="1" applyFont="1" applyBorder="1" applyAlignment="1">
      <alignment horizontal="right"/>
    </xf>
    <xf numFmtId="0" fontId="52" fillId="0" borderId="0" xfId="0" applyFont="1" applyAlignment="1">
      <alignment horizontal="right"/>
    </xf>
    <xf numFmtId="0" fontId="52" fillId="0" borderId="42" xfId="0" applyFont="1" applyBorder="1" applyAlignment="1">
      <alignment horizontal="right"/>
    </xf>
    <xf numFmtId="4" fontId="52" fillId="0" borderId="42" xfId="0" applyNumberFormat="1" applyFont="1" applyBorder="1" applyAlignment="1">
      <alignment horizontal="right"/>
    </xf>
    <xf numFmtId="0" fontId="49" fillId="0" borderId="41" xfId="0" applyFont="1" applyBorder="1" applyAlignment="1">
      <alignment horizontal="center"/>
    </xf>
    <xf numFmtId="2" fontId="49" fillId="0" borderId="41" xfId="0" applyNumberFormat="1" applyFont="1" applyBorder="1" applyAlignment="1">
      <alignment horizontal="right"/>
    </xf>
    <xf numFmtId="4" fontId="49" fillId="0" borderId="0" xfId="0" applyNumberFormat="1" applyFont="1" applyAlignment="1">
      <alignment horizontal="right"/>
    </xf>
    <xf numFmtId="0" fontId="49" fillId="0" borderId="42" xfId="0" applyFont="1" applyBorder="1" applyAlignment="1">
      <alignment horizontal="right"/>
    </xf>
    <xf numFmtId="0" fontId="49" fillId="0" borderId="41" xfId="0" applyFont="1" applyBorder="1" applyAlignment="1">
      <alignment horizontal="right"/>
    </xf>
    <xf numFmtId="2" fontId="49" fillId="0" borderId="43" xfId="0" applyNumberFormat="1" applyFont="1" applyBorder="1" applyAlignment="1">
      <alignment horizontal="right"/>
    </xf>
    <xf numFmtId="0" fontId="49" fillId="0" borderId="0" xfId="0" applyFont="1" applyAlignment="1">
      <alignment horizontal="center"/>
    </xf>
    <xf numFmtId="2" fontId="49" fillId="0" borderId="0" xfId="0" applyNumberFormat="1" applyFont="1" applyAlignment="1">
      <alignment horizontal="right"/>
    </xf>
    <xf numFmtId="0" fontId="49" fillId="0" borderId="43" xfId="0" applyFont="1" applyBorder="1" applyAlignment="1">
      <alignment horizontal="center"/>
    </xf>
    <xf numFmtId="2" fontId="49" fillId="0" borderId="48" xfId="0" applyNumberFormat="1" applyFont="1" applyBorder="1" applyAlignment="1">
      <alignment horizontal="right"/>
    </xf>
    <xf numFmtId="2" fontId="49" fillId="0" borderId="49" xfId="0" applyNumberFormat="1" applyFont="1" applyBorder="1" applyAlignment="1">
      <alignment horizontal="right"/>
    </xf>
    <xf numFmtId="49" fontId="49" fillId="0" borderId="49" xfId="0" applyNumberFormat="1" applyFont="1" applyBorder="1" applyAlignment="1">
      <alignment horizontal="right"/>
    </xf>
    <xf numFmtId="0" fontId="49" fillId="0" borderId="0" xfId="0" applyFont="1" applyAlignment="1">
      <alignment horizontal="right"/>
    </xf>
    <xf numFmtId="49" fontId="52" fillId="0" borderId="0" xfId="0" applyNumberFormat="1" applyFont="1" applyAlignment="1">
      <alignment horizontal="center"/>
    </xf>
    <xf numFmtId="49" fontId="52" fillId="0" borderId="41" xfId="0" applyNumberFormat="1" applyFont="1" applyBorder="1" applyAlignment="1">
      <alignment horizontal="center"/>
    </xf>
    <xf numFmtId="0" fontId="52" fillId="0" borderId="41" xfId="0" applyFont="1" applyBorder="1"/>
    <xf numFmtId="2" fontId="49" fillId="0" borderId="0" xfId="0" applyNumberFormat="1" applyFont="1"/>
    <xf numFmtId="0" fontId="49" fillId="0" borderId="50" xfId="0" applyFont="1" applyBorder="1" applyAlignment="1">
      <alignment horizontal="center"/>
    </xf>
    <xf numFmtId="2" fontId="49" fillId="0" borderId="50" xfId="0" applyNumberFormat="1" applyFont="1" applyBorder="1" applyAlignment="1">
      <alignment horizontal="right"/>
    </xf>
    <xf numFmtId="4" fontId="49" fillId="0" borderId="50" xfId="0" applyNumberFormat="1" applyFont="1" applyBorder="1" applyAlignment="1">
      <alignment horizontal="right"/>
    </xf>
    <xf numFmtId="0" fontId="52" fillId="0" borderId="0" xfId="0" applyFont="1"/>
    <xf numFmtId="0" fontId="49" fillId="0" borderId="49" xfId="0" applyFont="1" applyBorder="1" applyAlignment="1">
      <alignment horizontal="center"/>
    </xf>
    <xf numFmtId="0" fontId="52" fillId="0" borderId="51" xfId="0" applyFont="1" applyBorder="1" applyAlignment="1">
      <alignment horizontal="center"/>
    </xf>
    <xf numFmtId="4" fontId="49" fillId="0" borderId="0" xfId="0" applyNumberFormat="1" applyFont="1"/>
    <xf numFmtId="0" fontId="78" fillId="0" borderId="0" xfId="0" applyFont="1" applyAlignment="1">
      <alignment horizontal="center" vertical="center"/>
    </xf>
    <xf numFmtId="175" fontId="0" fillId="0" borderId="0" xfId="0" applyNumberFormat="1" applyAlignment="1">
      <alignment vertical="center"/>
    </xf>
    <xf numFmtId="195" fontId="81" fillId="43" borderId="84" xfId="122" applyNumberFormat="1" applyFont="1" applyFill="1" applyBorder="1" applyAlignment="1">
      <alignment horizontal="right" vertical="center"/>
    </xf>
    <xf numFmtId="196" fontId="0" fillId="0" borderId="0" xfId="122" applyNumberFormat="1" applyFont="1" applyBorder="1"/>
    <xf numFmtId="0" fontId="11" fillId="0" borderId="0" xfId="0" applyFont="1" applyAlignment="1">
      <alignment vertical="center"/>
    </xf>
    <xf numFmtId="204" fontId="0" fillId="0" borderId="0" xfId="0" applyNumberFormat="1"/>
    <xf numFmtId="0" fontId="83" fillId="0" borderId="0" xfId="0" applyFont="1"/>
    <xf numFmtId="204" fontId="83" fillId="0" borderId="0" xfId="0" applyNumberFormat="1" applyFont="1"/>
    <xf numFmtId="0" fontId="84" fillId="0" borderId="0" xfId="0" applyFont="1"/>
    <xf numFmtId="194" fontId="12" fillId="0" borderId="75" xfId="0" applyNumberFormat="1" applyFont="1" applyBorder="1" applyAlignment="1">
      <alignment horizontal="center" vertical="center"/>
    </xf>
    <xf numFmtId="174" fontId="45" fillId="0" borderId="12" xfId="122" applyNumberFormat="1" applyFont="1" applyFill="1" applyBorder="1" applyAlignment="1">
      <alignment horizontal="center"/>
    </xf>
    <xf numFmtId="0" fontId="12" fillId="25" borderId="12" xfId="0" applyFont="1" applyFill="1" applyBorder="1" applyAlignment="1">
      <alignment vertical="center"/>
    </xf>
    <xf numFmtId="0" fontId="84" fillId="0" borderId="12" xfId="0" applyFont="1" applyBorder="1"/>
    <xf numFmtId="174" fontId="12" fillId="47" borderId="12" xfId="122" applyNumberFormat="1" applyFont="1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174" fontId="12" fillId="32" borderId="12" xfId="122" applyNumberFormat="1" applyFont="1" applyFill="1" applyBorder="1" applyAlignment="1">
      <alignment horizontal="left"/>
    </xf>
    <xf numFmtId="174" fontId="11" fillId="47" borderId="12" xfId="123" applyNumberFormat="1" applyFont="1" applyFill="1" applyBorder="1" applyAlignment="1">
      <alignment horizontal="left" vertical="center"/>
    </xf>
    <xf numFmtId="174" fontId="12" fillId="48" borderId="12" xfId="122" applyNumberFormat="1" applyFont="1" applyFill="1" applyBorder="1" applyAlignment="1">
      <alignment horizontal="left" vertical="center"/>
    </xf>
    <xf numFmtId="174" fontId="12" fillId="48" borderId="12" xfId="122" applyNumberFormat="1" applyFont="1" applyFill="1" applyBorder="1" applyAlignment="1">
      <alignment horizontal="center" vertical="center"/>
    </xf>
    <xf numFmtId="174" fontId="53" fillId="48" borderId="12" xfId="122" applyNumberFormat="1" applyFont="1" applyFill="1" applyBorder="1" applyAlignment="1">
      <alignment vertical="center"/>
    </xf>
    <xf numFmtId="174" fontId="11" fillId="48" borderId="12" xfId="123" applyNumberFormat="1" applyFont="1" applyFill="1" applyBorder="1" applyAlignment="1">
      <alignment horizontal="left" vertical="center"/>
    </xf>
    <xf numFmtId="174" fontId="12" fillId="0" borderId="0" xfId="122" applyNumberFormat="1" applyFont="1" applyFill="1" applyBorder="1" applyAlignment="1">
      <alignment horizontal="left"/>
    </xf>
    <xf numFmtId="174" fontId="11" fillId="0" borderId="0" xfId="123" applyNumberFormat="1" applyFont="1" applyFill="1" applyBorder="1" applyAlignment="1">
      <alignment horizontal="left" vertical="center"/>
    </xf>
    <xf numFmtId="0" fontId="83" fillId="49" borderId="0" xfId="0" applyFont="1" applyFill="1"/>
    <xf numFmtId="0" fontId="79" fillId="49" borderId="0" xfId="0" applyFont="1" applyFill="1"/>
    <xf numFmtId="174" fontId="11" fillId="48" borderId="12" xfId="122" applyNumberFormat="1" applyFont="1" applyFill="1" applyBorder="1" applyAlignment="1">
      <alignment horizontal="center"/>
    </xf>
    <xf numFmtId="17" fontId="0" fillId="43" borderId="0" xfId="0" applyNumberFormat="1" applyFill="1" applyAlignment="1">
      <alignment vertical="center"/>
    </xf>
    <xf numFmtId="174" fontId="11" fillId="48" borderId="12" xfId="123" applyNumberFormat="1" applyFont="1" applyFill="1" applyBorder="1" applyAlignment="1">
      <alignment horizontal="center"/>
    </xf>
    <xf numFmtId="0" fontId="52" fillId="0" borderId="0" xfId="97" applyFont="1" applyAlignment="1">
      <alignment horizontal="center"/>
    </xf>
    <xf numFmtId="0" fontId="49" fillId="0" borderId="49" xfId="97" applyFont="1" applyBorder="1" applyAlignment="1">
      <alignment horizontal="center"/>
    </xf>
    <xf numFmtId="2" fontId="49" fillId="0" borderId="50" xfId="97" applyNumberFormat="1" applyFont="1" applyBorder="1" applyAlignment="1">
      <alignment horizontal="right"/>
    </xf>
    <xf numFmtId="4" fontId="49" fillId="0" borderId="50" xfId="97" applyNumberFormat="1" applyFont="1" applyBorder="1" applyAlignment="1">
      <alignment horizontal="right"/>
    </xf>
    <xf numFmtId="0" fontId="73" fillId="43" borderId="0" xfId="0" applyFont="1" applyFill="1" applyAlignment="1">
      <alignment vertical="center"/>
    </xf>
    <xf numFmtId="196" fontId="73" fillId="0" borderId="0" xfId="122" applyNumberFormat="1" applyFont="1" applyBorder="1"/>
    <xf numFmtId="197" fontId="73" fillId="0" borderId="0" xfId="122" applyNumberFormat="1" applyFont="1" applyBorder="1"/>
    <xf numFmtId="202" fontId="73" fillId="43" borderId="0" xfId="0" applyNumberFormat="1" applyFont="1" applyFill="1" applyAlignment="1">
      <alignment vertical="center"/>
    </xf>
    <xf numFmtId="196" fontId="73" fillId="43" borderId="0" xfId="122" applyNumberFormat="1" applyFont="1" applyFill="1" applyBorder="1" applyAlignment="1">
      <alignment vertical="center"/>
    </xf>
    <xf numFmtId="199" fontId="73" fillId="43" borderId="0" xfId="84" applyNumberFormat="1" applyFont="1" applyFill="1" applyBorder="1" applyAlignment="1">
      <alignment vertical="center"/>
    </xf>
    <xf numFmtId="0" fontId="73" fillId="43" borderId="0" xfId="0" applyFont="1" applyFill="1" applyAlignment="1">
      <alignment horizontal="center" vertical="center"/>
    </xf>
    <xf numFmtId="10" fontId="73" fillId="43" borderId="0" xfId="102" applyNumberFormat="1" applyFont="1" applyFill="1" applyBorder="1" applyAlignment="1">
      <alignment vertical="center"/>
    </xf>
    <xf numFmtId="10" fontId="11" fillId="43" borderId="0" xfId="102" applyNumberFormat="1" applyFont="1" applyFill="1" applyBorder="1" applyAlignment="1">
      <alignment vertical="center"/>
    </xf>
    <xf numFmtId="200" fontId="73" fillId="0" borderId="0" xfId="0" applyNumberFormat="1" applyFont="1" applyAlignment="1">
      <alignment vertical="center"/>
    </xf>
    <xf numFmtId="0" fontId="73" fillId="0" borderId="0" xfId="0" applyFont="1" applyAlignment="1">
      <alignment vertical="center"/>
    </xf>
    <xf numFmtId="184" fontId="73" fillId="0" borderId="0" xfId="0" applyNumberFormat="1" applyFont="1" applyAlignment="1">
      <alignment vertical="center"/>
    </xf>
    <xf numFmtId="43" fontId="0" fillId="0" borderId="0" xfId="0" applyNumberFormat="1"/>
    <xf numFmtId="197" fontId="0" fillId="0" borderId="0" xfId="0" applyNumberFormat="1"/>
    <xf numFmtId="0" fontId="84" fillId="43" borderId="0" xfId="0" applyFont="1" applyFill="1"/>
    <xf numFmtId="0" fontId="12" fillId="43" borderId="0" xfId="0" applyFont="1" applyFill="1" applyAlignment="1">
      <alignment horizontal="left" vertical="center"/>
    </xf>
    <xf numFmtId="174" fontId="12" fillId="43" borderId="0" xfId="122" applyNumberFormat="1" applyFont="1" applyFill="1" applyBorder="1" applyAlignment="1">
      <alignment horizontal="left" vertical="center"/>
    </xf>
    <xf numFmtId="0" fontId="0" fillId="43" borderId="0" xfId="0" applyFill="1"/>
    <xf numFmtId="197" fontId="73" fillId="0" borderId="0" xfId="122" applyNumberFormat="1" applyFont="1" applyBorder="1" applyAlignment="1">
      <alignment horizontal="right"/>
    </xf>
    <xf numFmtId="194" fontId="0" fillId="0" borderId="0" xfId="0" applyNumberFormat="1"/>
    <xf numFmtId="0" fontId="52" fillId="0" borderId="0" xfId="98" applyFont="1" applyAlignment="1">
      <alignment horizontal="center"/>
    </xf>
    <xf numFmtId="0" fontId="49" fillId="0" borderId="0" xfId="98" applyFont="1" applyAlignment="1">
      <alignment horizontal="center"/>
    </xf>
    <xf numFmtId="2" fontId="49" fillId="0" borderId="50" xfId="98" applyNumberFormat="1" applyFont="1" applyBorder="1" applyAlignment="1">
      <alignment horizontal="right"/>
    </xf>
    <xf numFmtId="4" fontId="49" fillId="0" borderId="50" xfId="98" applyNumberFormat="1" applyFont="1" applyBorder="1" applyAlignment="1">
      <alignment horizontal="right"/>
    </xf>
    <xf numFmtId="0" fontId="49" fillId="0" borderId="49" xfId="98" applyFont="1" applyBorder="1" applyAlignment="1">
      <alignment horizontal="center"/>
    </xf>
    <xf numFmtId="0" fontId="52" fillId="0" borderId="51" xfId="98" applyFont="1" applyBorder="1" applyAlignment="1">
      <alignment horizontal="center"/>
    </xf>
    <xf numFmtId="174" fontId="0" fillId="0" borderId="0" xfId="122" applyNumberFormat="1" applyFont="1" applyAlignment="1">
      <alignment vertical="center"/>
    </xf>
    <xf numFmtId="14" fontId="0" fillId="0" borderId="0" xfId="0" applyNumberFormat="1"/>
    <xf numFmtId="0" fontId="12" fillId="0" borderId="12" xfId="0" applyFont="1" applyBorder="1"/>
    <xf numFmtId="43" fontId="0" fillId="0" borderId="12" xfId="122" applyFont="1" applyBorder="1"/>
    <xf numFmtId="0" fontId="0" fillId="0" borderId="12" xfId="0" applyBorder="1"/>
    <xf numFmtId="43" fontId="0" fillId="0" borderId="12" xfId="0" applyNumberFormat="1" applyBorder="1"/>
    <xf numFmtId="14" fontId="12" fillId="0" borderId="12" xfId="0" applyNumberFormat="1" applyFont="1" applyBorder="1"/>
    <xf numFmtId="174" fontId="54" fillId="48" borderId="12" xfId="122" applyNumberFormat="1" applyFont="1" applyFill="1" applyBorder="1" applyAlignment="1">
      <alignment horizontal="center"/>
    </xf>
    <xf numFmtId="174" fontId="11" fillId="48" borderId="12" xfId="123" applyNumberFormat="1" applyFont="1" applyFill="1" applyBorder="1" applyAlignment="1">
      <alignment horizontal="left"/>
    </xf>
    <xf numFmtId="174" fontId="11" fillId="48" borderId="12" xfId="122" applyNumberFormat="1" applyFont="1" applyFill="1" applyBorder="1" applyAlignment="1">
      <alignment horizontal="left"/>
    </xf>
    <xf numFmtId="178" fontId="81" fillId="43" borderId="84" xfId="102" applyNumberFormat="1" applyFont="1" applyFill="1" applyBorder="1" applyAlignment="1">
      <alignment horizontal="center" vertical="center"/>
    </xf>
    <xf numFmtId="178" fontId="12" fillId="50" borderId="92" xfId="102" applyNumberFormat="1" applyFont="1" applyFill="1" applyBorder="1"/>
    <xf numFmtId="43" fontId="11" fillId="0" borderId="0" xfId="122" applyFont="1"/>
    <xf numFmtId="178" fontId="11" fillId="0" borderId="0" xfId="102" applyNumberFormat="1" applyFont="1"/>
    <xf numFmtId="196" fontId="12" fillId="0" borderId="0" xfId="122" applyNumberFormat="1" applyFont="1"/>
    <xf numFmtId="0" fontId="76" fillId="0" borderId="0" xfId="0" applyFont="1" applyAlignment="1">
      <alignment vertical="center"/>
    </xf>
    <xf numFmtId="43" fontId="76" fillId="0" borderId="0" xfId="122" applyFont="1" applyAlignment="1">
      <alignment vertical="center"/>
    </xf>
    <xf numFmtId="186" fontId="11" fillId="34" borderId="67" xfId="109" applyNumberFormat="1" applyFont="1" applyFill="1" applyBorder="1" applyAlignment="1">
      <alignment vertical="center"/>
    </xf>
    <xf numFmtId="186" fontId="11" fillId="34" borderId="68" xfId="109" applyNumberFormat="1" applyFont="1" applyFill="1" applyBorder="1" applyAlignment="1">
      <alignment vertical="center"/>
    </xf>
    <xf numFmtId="186" fontId="11" fillId="34" borderId="68" xfId="109" applyNumberFormat="1" applyFont="1" applyFill="1" applyBorder="1" applyAlignment="1">
      <alignment horizontal="center" vertical="center"/>
    </xf>
    <xf numFmtId="195" fontId="0" fillId="0" borderId="0" xfId="0" applyNumberFormat="1" applyAlignment="1">
      <alignment vertical="center"/>
    </xf>
    <xf numFmtId="207" fontId="81" fillId="43" borderId="84" xfId="122" applyNumberFormat="1" applyFont="1" applyFill="1" applyBorder="1" applyAlignment="1">
      <alignment horizontal="center" vertical="center"/>
    </xf>
    <xf numFmtId="184" fontId="84" fillId="0" borderId="0" xfId="0" applyNumberFormat="1" applyFont="1"/>
    <xf numFmtId="208" fontId="79" fillId="0" borderId="0" xfId="0" applyNumberFormat="1" applyFont="1" applyAlignment="1">
      <alignment vertical="center"/>
    </xf>
    <xf numFmtId="10" fontId="0" fillId="0" borderId="0" xfId="102" applyNumberFormat="1" applyFont="1"/>
    <xf numFmtId="0" fontId="11" fillId="0" borderId="12" xfId="0" applyFont="1" applyBorder="1"/>
    <xf numFmtId="0" fontId="12" fillId="32" borderId="0" xfId="0" applyFont="1" applyFill="1"/>
    <xf numFmtId="0" fontId="0" fillId="32" borderId="0" xfId="0" applyFill="1"/>
    <xf numFmtId="9" fontId="12" fillId="0" borderId="0" xfId="0" applyNumberFormat="1" applyFont="1"/>
    <xf numFmtId="174" fontId="11" fillId="0" borderId="12" xfId="122" applyNumberFormat="1" applyFont="1" applyBorder="1" applyAlignment="1">
      <alignment horizontal="center"/>
    </xf>
    <xf numFmtId="43" fontId="0" fillId="32" borderId="0" xfId="0" applyNumberFormat="1" applyFill="1"/>
    <xf numFmtId="0" fontId="0" fillId="0" borderId="0" xfId="102" applyNumberFormat="1" applyFont="1"/>
    <xf numFmtId="9" fontId="0" fillId="0" borderId="0" xfId="102" applyFont="1"/>
    <xf numFmtId="0" fontId="12" fillId="0" borderId="0" xfId="0" applyFont="1" applyAlignment="1">
      <alignment horizontal="left" vertical="center"/>
    </xf>
    <xf numFmtId="0" fontId="15" fillId="51" borderId="12" xfId="0" applyFont="1" applyFill="1" applyBorder="1" applyAlignment="1">
      <alignment horizontal="left" vertical="center" indent="2"/>
    </xf>
    <xf numFmtId="0" fontId="15" fillId="43" borderId="12" xfId="0" applyFont="1" applyFill="1" applyBorder="1" applyAlignment="1">
      <alignment horizontal="left" vertical="center" indent="2"/>
    </xf>
    <xf numFmtId="0" fontId="11" fillId="43" borderId="12" xfId="0" applyFont="1" applyFill="1" applyBorder="1" applyAlignment="1">
      <alignment horizontal="left" vertical="center" indent="2"/>
    </xf>
    <xf numFmtId="0" fontId="11" fillId="0" borderId="0" xfId="94" applyAlignment="1">
      <alignment horizontal="right"/>
    </xf>
    <xf numFmtId="14" fontId="11" fillId="0" borderId="0" xfId="94" applyNumberFormat="1"/>
    <xf numFmtId="0" fontId="12" fillId="0" borderId="0" xfId="94" applyFont="1"/>
    <xf numFmtId="0" fontId="28" fillId="0" borderId="0" xfId="94" applyFont="1"/>
    <xf numFmtId="0" fontId="12" fillId="25" borderId="12" xfId="94" applyFont="1" applyFill="1" applyBorder="1" applyAlignment="1">
      <alignment horizontal="center"/>
    </xf>
    <xf numFmtId="2" fontId="12" fillId="31" borderId="12" xfId="94" applyNumberFormat="1" applyFont="1" applyFill="1" applyBorder="1" applyAlignment="1">
      <alignment horizontal="center"/>
    </xf>
    <xf numFmtId="0" fontId="12" fillId="0" borderId="12" xfId="94" applyFont="1" applyBorder="1" applyAlignment="1">
      <alignment horizontal="center"/>
    </xf>
    <xf numFmtId="3" fontId="0" fillId="0" borderId="12" xfId="111" applyNumberFormat="1" applyFont="1" applyBorder="1" applyAlignment="1">
      <alignment horizontal="center"/>
    </xf>
    <xf numFmtId="3" fontId="11" fillId="0" borderId="0" xfId="94" applyNumberFormat="1"/>
    <xf numFmtId="43" fontId="11" fillId="0" borderId="0" xfId="94" applyNumberFormat="1"/>
    <xf numFmtId="0" fontId="12" fillId="0" borderId="34" xfId="94" applyFont="1" applyBorder="1"/>
    <xf numFmtId="0" fontId="12" fillId="0" borderId="35" xfId="94" applyFont="1" applyBorder="1"/>
    <xf numFmtId="0" fontId="12" fillId="0" borderId="36" xfId="94" applyFont="1" applyBorder="1"/>
    <xf numFmtId="0" fontId="12" fillId="0" borderId="93" xfId="94" applyFont="1" applyBorder="1"/>
    <xf numFmtId="0" fontId="12" fillId="0" borderId="12" xfId="94" applyFont="1" applyBorder="1"/>
    <xf numFmtId="0" fontId="12" fillId="0" borderId="94" xfId="94" applyFont="1" applyBorder="1"/>
    <xf numFmtId="14" fontId="12" fillId="0" borderId="90" xfId="94" applyNumberFormat="1" applyFont="1" applyBorder="1"/>
    <xf numFmtId="14" fontId="12" fillId="0" borderId="91" xfId="94" applyNumberFormat="1" applyFont="1" applyBorder="1"/>
    <xf numFmtId="0" fontId="12" fillId="0" borderId="91" xfId="94" applyFont="1" applyBorder="1"/>
    <xf numFmtId="206" fontId="11" fillId="0" borderId="0" xfId="94" applyNumberFormat="1"/>
    <xf numFmtId="10" fontId="11" fillId="0" borderId="0" xfId="102" applyNumberFormat="1" applyFont="1"/>
    <xf numFmtId="10" fontId="11" fillId="0" borderId="0" xfId="94" applyNumberFormat="1"/>
    <xf numFmtId="174" fontId="11" fillId="0" borderId="0" xfId="122" applyNumberFormat="1" applyFont="1"/>
    <xf numFmtId="0" fontId="12" fillId="30" borderId="12" xfId="94" applyFont="1" applyFill="1" applyBorder="1" applyAlignment="1">
      <alignment horizontal="center"/>
    </xf>
    <xf numFmtId="3" fontId="12" fillId="30" borderId="12" xfId="111" applyNumberFormat="1" applyFont="1" applyFill="1" applyBorder="1" applyAlignment="1">
      <alignment horizontal="center"/>
    </xf>
    <xf numFmtId="0" fontId="12" fillId="25" borderId="13" xfId="94" applyFont="1" applyFill="1" applyBorder="1"/>
    <xf numFmtId="0" fontId="11" fillId="25" borderId="14" xfId="94" applyFill="1" applyBorder="1"/>
    <xf numFmtId="0" fontId="12" fillId="25" borderId="15" xfId="94" applyFont="1" applyFill="1" applyBorder="1" applyAlignment="1">
      <alignment horizontal="right"/>
    </xf>
    <xf numFmtId="180" fontId="12" fillId="0" borderId="0" xfId="94" applyNumberFormat="1" applyFont="1"/>
    <xf numFmtId="3" fontId="0" fillId="0" borderId="12" xfId="111" applyNumberFormat="1" applyFont="1" applyFill="1" applyBorder="1" applyAlignment="1">
      <alignment horizontal="center"/>
    </xf>
    <xf numFmtId="3" fontId="11" fillId="0" borderId="12" xfId="111" applyNumberFormat="1" applyFont="1" applyFill="1" applyBorder="1" applyAlignment="1">
      <alignment horizontal="center"/>
    </xf>
    <xf numFmtId="14" fontId="12" fillId="0" borderId="19" xfId="94" applyNumberFormat="1" applyFont="1" applyBorder="1"/>
    <xf numFmtId="14" fontId="12" fillId="0" borderId="39" xfId="94" applyNumberFormat="1" applyFont="1" applyBorder="1"/>
    <xf numFmtId="0" fontId="12" fillId="35" borderId="18" xfId="94" applyFont="1" applyFill="1" applyBorder="1"/>
    <xf numFmtId="14" fontId="82" fillId="0" borderId="19" xfId="94" applyNumberFormat="1" applyFont="1" applyBorder="1"/>
    <xf numFmtId="174" fontId="11" fillId="42" borderId="13" xfId="122" applyNumberFormat="1" applyFont="1" applyFill="1" applyBorder="1" applyAlignment="1">
      <alignment horizontal="center"/>
    </xf>
    <xf numFmtId="14" fontId="12" fillId="0" borderId="0" xfId="94" applyNumberFormat="1" applyFont="1"/>
    <xf numFmtId="14" fontId="75" fillId="0" borderId="0" xfId="94" applyNumberFormat="1" applyFont="1"/>
    <xf numFmtId="178" fontId="11" fillId="0" borderId="0" xfId="94" applyNumberFormat="1"/>
    <xf numFmtId="174" fontId="11" fillId="0" borderId="0" xfId="94" applyNumberFormat="1"/>
    <xf numFmtId="3" fontId="12" fillId="30" borderId="12" xfId="111" applyNumberFormat="1" applyFont="1" applyFill="1" applyBorder="1" applyAlignment="1">
      <alignment horizontal="right"/>
    </xf>
    <xf numFmtId="176" fontId="11" fillId="0" borderId="0" xfId="94" applyNumberFormat="1"/>
    <xf numFmtId="179" fontId="11" fillId="0" borderId="0" xfId="94" applyNumberFormat="1"/>
    <xf numFmtId="14" fontId="12" fillId="0" borderId="13" xfId="94" applyNumberFormat="1" applyFont="1" applyBorder="1" applyAlignment="1">
      <alignment horizontal="centerContinuous"/>
    </xf>
    <xf numFmtId="14" fontId="12" fillId="0" borderId="14" xfId="94" applyNumberFormat="1" applyFont="1" applyBorder="1" applyAlignment="1">
      <alignment horizontal="centerContinuous"/>
    </xf>
    <xf numFmtId="0" fontId="12" fillId="0" borderId="15" xfId="94" applyFont="1" applyBorder="1" applyAlignment="1">
      <alignment horizontal="centerContinuous"/>
    </xf>
    <xf numFmtId="0" fontId="12" fillId="0" borderId="14" xfId="94" applyFont="1" applyBorder="1" applyAlignment="1">
      <alignment horizontal="centerContinuous"/>
    </xf>
    <xf numFmtId="14" fontId="12" fillId="0" borderId="12" xfId="94" applyNumberFormat="1" applyFont="1" applyBorder="1" applyAlignment="1">
      <alignment horizontal="center"/>
    </xf>
    <xf numFmtId="192" fontId="12" fillId="35" borderId="12" xfId="94" applyNumberFormat="1" applyFont="1" applyFill="1" applyBorder="1"/>
    <xf numFmtId="0" fontId="12" fillId="35" borderId="12" xfId="94" applyFont="1" applyFill="1" applyBorder="1"/>
    <xf numFmtId="178" fontId="12" fillId="0" borderId="0" xfId="102" applyNumberFormat="1" applyFont="1"/>
    <xf numFmtId="0" fontId="12" fillId="0" borderId="0" xfId="94" applyFont="1" applyAlignment="1">
      <alignment horizontal="center"/>
    </xf>
    <xf numFmtId="3" fontId="12" fillId="0" borderId="0" xfId="111" applyNumberFormat="1" applyFont="1" applyBorder="1" applyAlignment="1">
      <alignment horizontal="center"/>
    </xf>
    <xf numFmtId="0" fontId="0" fillId="0" borderId="0" xfId="0" applyAlignment="1">
      <alignment horizontal="center" vertical="center" wrapText="1"/>
    </xf>
    <xf numFmtId="0" fontId="84" fillId="0" borderId="12" xfId="0" applyFont="1" applyBorder="1" applyAlignment="1">
      <alignment horizontal="center" vertical="center"/>
    </xf>
    <xf numFmtId="0" fontId="84" fillId="0" borderId="12" xfId="0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174" fontId="0" fillId="0" borderId="12" xfId="122" applyNumberFormat="1" applyFont="1" applyBorder="1" applyAlignment="1">
      <alignment horizontal="center" vertical="center" wrapText="1"/>
    </xf>
    <xf numFmtId="178" fontId="0" fillId="0" borderId="12" xfId="102" applyNumberFormat="1" applyFont="1" applyBorder="1" applyAlignment="1">
      <alignment horizontal="center" vertical="center" wrapText="1"/>
    </xf>
    <xf numFmtId="178" fontId="0" fillId="0" borderId="0" xfId="102" applyNumberFormat="1" applyFont="1" applyAlignment="1">
      <alignment vertical="center"/>
    </xf>
    <xf numFmtId="43" fontId="0" fillId="0" borderId="0" xfId="122" applyFont="1" applyAlignment="1">
      <alignment vertical="center"/>
    </xf>
    <xf numFmtId="174" fontId="84" fillId="0" borderId="12" xfId="122" applyNumberFormat="1" applyFont="1" applyBorder="1" applyAlignment="1">
      <alignment horizontal="center" vertical="center"/>
    </xf>
    <xf numFmtId="174" fontId="84" fillId="0" borderId="12" xfId="122" applyNumberFormat="1" applyFont="1" applyBorder="1" applyAlignment="1">
      <alignment horizontal="center" vertical="center" wrapText="1"/>
    </xf>
    <xf numFmtId="178" fontId="84" fillId="0" borderId="12" xfId="102" applyNumberFormat="1" applyFont="1" applyBorder="1" applyAlignment="1">
      <alignment horizontal="center" vertical="center" wrapText="1"/>
    </xf>
    <xf numFmtId="178" fontId="84" fillId="52" borderId="12" xfId="102" applyNumberFormat="1" applyFont="1" applyFill="1" applyBorder="1" applyAlignment="1">
      <alignment horizontal="center" vertical="center" wrapText="1"/>
    </xf>
    <xf numFmtId="178" fontId="0" fillId="0" borderId="0" xfId="122" applyNumberFormat="1" applyFont="1" applyAlignment="1">
      <alignment vertical="center"/>
    </xf>
    <xf numFmtId="14" fontId="82" fillId="0" borderId="0" xfId="94" applyNumberFormat="1" applyFont="1"/>
    <xf numFmtId="210" fontId="85" fillId="0" borderId="0" xfId="122" applyNumberFormat="1" applyFont="1"/>
    <xf numFmtId="174" fontId="79" fillId="0" borderId="0" xfId="122" applyNumberFormat="1" applyFont="1" applyFill="1" applyBorder="1" applyAlignment="1">
      <alignment horizontal="center"/>
    </xf>
    <xf numFmtId="198" fontId="11" fillId="0" borderId="0" xfId="95" applyNumberFormat="1" applyFont="1"/>
    <xf numFmtId="211" fontId="11" fillId="0" borderId="0" xfId="95" applyNumberFormat="1" applyFont="1"/>
    <xf numFmtId="212" fontId="11" fillId="0" borderId="0" xfId="95" applyNumberFormat="1" applyFont="1"/>
    <xf numFmtId="43" fontId="11" fillId="34" borderId="12" xfId="94" applyNumberFormat="1" applyFill="1" applyBorder="1" applyAlignment="1">
      <alignment vertical="center"/>
    </xf>
    <xf numFmtId="43" fontId="11" fillId="0" borderId="0" xfId="94" applyNumberFormat="1" applyAlignment="1">
      <alignment vertical="center"/>
    </xf>
    <xf numFmtId="43" fontId="11" fillId="0" borderId="12" xfId="94" applyNumberFormat="1" applyBorder="1" applyAlignment="1">
      <alignment vertical="center"/>
    </xf>
    <xf numFmtId="14" fontId="11" fillId="28" borderId="12" xfId="109" applyNumberFormat="1" applyFont="1" applyFill="1" applyBorder="1" applyAlignment="1">
      <alignment horizontal="center" vertical="center"/>
    </xf>
    <xf numFmtId="0" fontId="11" fillId="0" borderId="12" xfId="94" applyBorder="1" applyAlignment="1">
      <alignment horizontal="center" vertical="center"/>
    </xf>
    <xf numFmtId="43" fontId="11" fillId="53" borderId="0" xfId="94" applyNumberFormat="1" applyFill="1" applyAlignment="1">
      <alignment vertical="center"/>
    </xf>
    <xf numFmtId="43" fontId="11" fillId="54" borderId="0" xfId="94" applyNumberFormat="1" applyFill="1" applyAlignment="1">
      <alignment vertical="center"/>
    </xf>
    <xf numFmtId="10" fontId="12" fillId="0" borderId="0" xfId="94" applyNumberFormat="1" applyFont="1" applyAlignment="1">
      <alignment vertical="center"/>
    </xf>
    <xf numFmtId="43" fontId="12" fillId="0" borderId="0" xfId="94" applyNumberFormat="1" applyFont="1" applyAlignment="1">
      <alignment vertical="center"/>
    </xf>
    <xf numFmtId="10" fontId="12" fillId="0" borderId="12" xfId="94" applyNumberFormat="1" applyFont="1" applyBorder="1" applyAlignment="1">
      <alignment vertical="center"/>
    </xf>
    <xf numFmtId="43" fontId="12" fillId="0" borderId="12" xfId="94" applyNumberFormat="1" applyFont="1" applyBorder="1" applyAlignment="1">
      <alignment vertical="center"/>
    </xf>
    <xf numFmtId="10" fontId="0" fillId="0" borderId="12" xfId="129" applyNumberFormat="1" applyFont="1" applyBorder="1" applyAlignment="1">
      <alignment vertical="center"/>
    </xf>
    <xf numFmtId="0" fontId="11" fillId="0" borderId="12" xfId="94" applyBorder="1" applyAlignment="1">
      <alignment vertical="center"/>
    </xf>
    <xf numFmtId="0" fontId="12" fillId="55" borderId="12" xfId="94" applyFont="1" applyFill="1" applyBorder="1" applyAlignment="1">
      <alignment horizontal="center" vertical="center"/>
    </xf>
    <xf numFmtId="0" fontId="86" fillId="0" borderId="0" xfId="94" applyFont="1" applyAlignment="1">
      <alignment vertical="center"/>
    </xf>
    <xf numFmtId="43" fontId="12" fillId="34" borderId="12" xfId="123" applyFont="1" applyFill="1" applyBorder="1" applyAlignment="1">
      <alignment vertical="center"/>
    </xf>
    <xf numFmtId="0" fontId="12" fillId="34" borderId="12" xfId="94" applyFont="1" applyFill="1" applyBorder="1" applyAlignment="1">
      <alignment vertical="center"/>
    </xf>
    <xf numFmtId="0" fontId="12" fillId="34" borderId="12" xfId="94" applyFont="1" applyFill="1" applyBorder="1" applyAlignment="1">
      <alignment horizontal="center" vertical="center"/>
    </xf>
    <xf numFmtId="43" fontId="12" fillId="34" borderId="12" xfId="94" applyNumberFormat="1" applyFont="1" applyFill="1" applyBorder="1" applyAlignment="1">
      <alignment vertical="center"/>
    </xf>
    <xf numFmtId="10" fontId="11" fillId="34" borderId="12" xfId="129" applyNumberFormat="1" applyFont="1" applyFill="1" applyBorder="1" applyAlignment="1">
      <alignment horizontal="center" vertical="center"/>
    </xf>
    <xf numFmtId="184" fontId="11" fillId="34" borderId="12" xfId="94" applyNumberFormat="1" applyFill="1" applyBorder="1" applyAlignment="1">
      <alignment horizontal="center" vertical="center"/>
    </xf>
    <xf numFmtId="43" fontId="0" fillId="0" borderId="12" xfId="123" applyFont="1" applyBorder="1" applyAlignment="1">
      <alignment vertical="center"/>
    </xf>
    <xf numFmtId="0" fontId="11" fillId="34" borderId="12" xfId="94" applyFill="1" applyBorder="1" applyAlignment="1">
      <alignment horizontal="center" vertical="center"/>
    </xf>
    <xf numFmtId="0" fontId="11" fillId="53" borderId="12" xfId="94" applyFill="1" applyBorder="1" applyAlignment="1">
      <alignment horizontal="center" vertical="center"/>
    </xf>
    <xf numFmtId="0" fontId="11" fillId="54" borderId="12" xfId="94" applyFill="1" applyBorder="1" applyAlignment="1">
      <alignment horizontal="center" vertical="center"/>
    </xf>
    <xf numFmtId="0" fontId="12" fillId="55" borderId="12" xfId="94" quotePrefix="1" applyFont="1" applyFill="1" applyBorder="1" applyAlignment="1">
      <alignment horizontal="center" vertical="center"/>
    </xf>
    <xf numFmtId="0" fontId="12" fillId="55" borderId="12" xfId="94" applyFont="1" applyFill="1" applyBorder="1" applyAlignment="1">
      <alignment horizontal="center" vertical="center" wrapText="1"/>
    </xf>
    <xf numFmtId="0" fontId="11" fillId="55" borderId="12" xfId="94" applyFill="1" applyBorder="1" applyAlignment="1">
      <alignment vertical="center"/>
    </xf>
    <xf numFmtId="0" fontId="11" fillId="0" borderId="0" xfId="94" applyAlignment="1">
      <alignment vertical="center" wrapText="1"/>
    </xf>
    <xf numFmtId="174" fontId="0" fillId="43" borderId="12" xfId="122" applyNumberFormat="1" applyFont="1" applyFill="1" applyBorder="1" applyAlignment="1">
      <alignment horizontal="center"/>
    </xf>
    <xf numFmtId="0" fontId="49" fillId="0" borderId="41" xfId="98" applyFont="1" applyBorder="1"/>
    <xf numFmtId="0" fontId="49" fillId="0" borderId="53" xfId="98" applyFont="1" applyBorder="1" applyAlignment="1">
      <alignment horizontal="center"/>
    </xf>
    <xf numFmtId="2" fontId="49" fillId="0" borderId="54" xfId="98" applyNumberFormat="1" applyFont="1" applyBorder="1" applyAlignment="1">
      <alignment horizontal="right"/>
    </xf>
    <xf numFmtId="4" fontId="49" fillId="0" borderId="54" xfId="98" applyNumberFormat="1" applyFont="1" applyBorder="1" applyAlignment="1">
      <alignment horizontal="right"/>
    </xf>
    <xf numFmtId="0" fontId="84" fillId="0" borderId="0" xfId="0" applyFont="1" applyAlignment="1">
      <alignment vertical="center"/>
    </xf>
    <xf numFmtId="0" fontId="83" fillId="49" borderId="0" xfId="0" applyFont="1" applyFill="1" applyAlignment="1">
      <alignment vertical="center"/>
    </xf>
    <xf numFmtId="0" fontId="84" fillId="43" borderId="0" xfId="0" applyFont="1" applyFill="1" applyAlignment="1">
      <alignment vertical="center"/>
    </xf>
    <xf numFmtId="0" fontId="78" fillId="56" borderId="0" xfId="0" applyFont="1" applyFill="1"/>
    <xf numFmtId="0" fontId="81" fillId="34" borderId="69" xfId="0" applyFont="1" applyFill="1" applyBorder="1" applyAlignment="1">
      <alignment horizontal="center" vertical="center"/>
    </xf>
    <xf numFmtId="0" fontId="81" fillId="34" borderId="78" xfId="0" applyFont="1" applyFill="1" applyBorder="1" applyAlignment="1">
      <alignment horizontal="center" vertical="center"/>
    </xf>
    <xf numFmtId="0" fontId="11" fillId="0" borderId="37" xfId="0" applyFont="1" applyBorder="1" applyAlignment="1">
      <alignment vertical="center"/>
    </xf>
    <xf numFmtId="0" fontId="11" fillId="0" borderId="52" xfId="0" applyFont="1" applyBorder="1" applyAlignment="1">
      <alignment vertical="center"/>
    </xf>
    <xf numFmtId="174" fontId="12" fillId="57" borderId="12" xfId="122" applyNumberFormat="1" applyFont="1" applyFill="1" applyBorder="1" applyAlignment="1">
      <alignment horizontal="left" vertical="center"/>
    </xf>
    <xf numFmtId="0" fontId="52" fillId="0" borderId="100" xfId="98" applyFont="1" applyBorder="1" applyAlignment="1">
      <alignment horizontal="center"/>
    </xf>
    <xf numFmtId="2" fontId="49" fillId="0" borderId="0" xfId="98" applyNumberFormat="1" applyFont="1" applyAlignment="1">
      <alignment horizontal="right"/>
    </xf>
    <xf numFmtId="4" fontId="49" fillId="0" borderId="0" xfId="98" applyNumberFormat="1" applyFont="1" applyAlignment="1">
      <alignment horizontal="right"/>
    </xf>
    <xf numFmtId="0" fontId="49" fillId="0" borderId="40" xfId="98" applyFont="1" applyBorder="1"/>
    <xf numFmtId="2" fontId="49" fillId="0" borderId="40" xfId="98" applyNumberFormat="1" applyFont="1" applyBorder="1"/>
    <xf numFmtId="4" fontId="49" fillId="0" borderId="40" xfId="98" applyNumberFormat="1" applyFont="1" applyBorder="1" applyAlignment="1">
      <alignment horizontal="right"/>
    </xf>
    <xf numFmtId="0" fontId="50" fillId="0" borderId="41" xfId="98" applyFont="1" applyBorder="1"/>
    <xf numFmtId="2" fontId="50" fillId="0" borderId="0" xfId="98" applyNumberFormat="1" applyFont="1"/>
    <xf numFmtId="0" fontId="50" fillId="0" borderId="42" xfId="98" applyFont="1" applyBorder="1"/>
    <xf numFmtId="0" fontId="50" fillId="0" borderId="0" xfId="98" applyFont="1"/>
    <xf numFmtId="4" fontId="50" fillId="0" borderId="0" xfId="98" applyNumberFormat="1" applyFont="1"/>
    <xf numFmtId="0" fontId="50" fillId="0" borderId="0" xfId="98" applyFont="1" applyAlignment="1">
      <alignment horizontal="center"/>
    </xf>
    <xf numFmtId="0" fontId="50" fillId="0" borderId="42" xfId="98" applyFont="1" applyBorder="1" applyAlignment="1">
      <alignment horizontal="center"/>
    </xf>
    <xf numFmtId="2" fontId="50" fillId="0" borderId="42" xfId="98" applyNumberFormat="1" applyFont="1" applyBorder="1" applyAlignment="1">
      <alignment horizontal="center"/>
    </xf>
    <xf numFmtId="2" fontId="50" fillId="0" borderId="43" xfId="98" applyNumberFormat="1" applyFont="1" applyBorder="1" applyAlignment="1">
      <alignment horizontal="center"/>
    </xf>
    <xf numFmtId="0" fontId="50" fillId="0" borderId="44" xfId="98" applyFont="1" applyBorder="1" applyAlignment="1">
      <alignment horizontal="center"/>
    </xf>
    <xf numFmtId="49" fontId="50" fillId="0" borderId="0" xfId="98" applyNumberFormat="1" applyFont="1" applyAlignment="1">
      <alignment horizontal="center"/>
    </xf>
    <xf numFmtId="0" fontId="50" fillId="0" borderId="45" xfId="98" applyFont="1" applyBorder="1" applyAlignment="1">
      <alignment horizontal="center"/>
    </xf>
    <xf numFmtId="2" fontId="50" fillId="0" borderId="45" xfId="98" applyNumberFormat="1" applyFont="1" applyBorder="1" applyAlignment="1">
      <alignment horizontal="center"/>
    </xf>
    <xf numFmtId="0" fontId="50" fillId="0" borderId="46" xfId="98" applyFont="1" applyBorder="1" applyAlignment="1">
      <alignment horizontal="center"/>
    </xf>
    <xf numFmtId="0" fontId="50" fillId="0" borderId="47" xfId="98" applyFont="1" applyBorder="1" applyAlignment="1">
      <alignment horizontal="center"/>
    </xf>
    <xf numFmtId="4" fontId="50" fillId="0" borderId="47" xfId="98" applyNumberFormat="1" applyFont="1" applyBorder="1" applyAlignment="1">
      <alignment horizontal="center"/>
    </xf>
    <xf numFmtId="0" fontId="49" fillId="0" borderId="0" xfId="98" applyFont="1"/>
    <xf numFmtId="2" fontId="49" fillId="0" borderId="0" xfId="98" applyNumberFormat="1" applyFont="1"/>
    <xf numFmtId="4" fontId="49" fillId="0" borderId="0" xfId="98" applyNumberFormat="1" applyFont="1"/>
    <xf numFmtId="43" fontId="11" fillId="34" borderId="12" xfId="122" applyFill="1" applyBorder="1" applyAlignment="1">
      <alignment vertical="center"/>
    </xf>
    <xf numFmtId="178" fontId="11" fillId="0" borderId="0" xfId="102" applyNumberFormat="1" applyAlignment="1">
      <alignment vertical="center"/>
    </xf>
    <xf numFmtId="0" fontId="87" fillId="0" borderId="0" xfId="135" applyFont="1"/>
    <xf numFmtId="0" fontId="88" fillId="49" borderId="0" xfId="135" applyFont="1" applyFill="1" applyAlignment="1">
      <alignment horizontal="centerContinuous"/>
    </xf>
    <xf numFmtId="0" fontId="89" fillId="40" borderId="0" xfId="135" applyFont="1" applyFill="1" applyAlignment="1">
      <alignment horizontal="centerContinuous"/>
    </xf>
    <xf numFmtId="0" fontId="90" fillId="40" borderId="0" xfId="135" applyFont="1" applyFill="1" applyAlignment="1">
      <alignment horizontal="centerContinuous"/>
    </xf>
    <xf numFmtId="0" fontId="88" fillId="49" borderId="34" xfId="135" applyFont="1" applyFill="1" applyBorder="1" applyAlignment="1">
      <alignment horizontal="center"/>
    </xf>
    <xf numFmtId="0" fontId="88" fillId="49" borderId="35" xfId="135" applyFont="1" applyFill="1" applyBorder="1" applyAlignment="1">
      <alignment horizontal="center"/>
    </xf>
    <xf numFmtId="0" fontId="88" fillId="49" borderId="36" xfId="135" applyFont="1" applyFill="1" applyBorder="1" applyAlignment="1">
      <alignment horizontal="center"/>
    </xf>
    <xf numFmtId="0" fontId="89" fillId="40" borderId="35" xfId="135" applyFont="1" applyFill="1" applyBorder="1" applyAlignment="1">
      <alignment horizontal="center"/>
    </xf>
    <xf numFmtId="0" fontId="89" fillId="34" borderId="0" xfId="135" applyFont="1" applyFill="1" applyAlignment="1">
      <alignment horizontal="left"/>
    </xf>
    <xf numFmtId="0" fontId="88" fillId="34" borderId="0" xfId="135" applyFont="1" applyFill="1" applyAlignment="1">
      <alignment horizontal="center"/>
    </xf>
    <xf numFmtId="0" fontId="87" fillId="0" borderId="95" xfId="135" applyFont="1" applyBorder="1"/>
    <xf numFmtId="174" fontId="87" fillId="0" borderId="96" xfId="135" applyNumberFormat="1" applyFont="1" applyBorder="1"/>
    <xf numFmtId="174" fontId="87" fillId="0" borderId="96" xfId="136" applyNumberFormat="1" applyFont="1" applyBorder="1"/>
    <xf numFmtId="0" fontId="87" fillId="0" borderId="50" xfId="135" applyFont="1" applyBorder="1"/>
    <xf numFmtId="174" fontId="87" fillId="0" borderId="0" xfId="136" applyNumberFormat="1" applyFont="1" applyBorder="1"/>
    <xf numFmtId="174" fontId="87" fillId="0" borderId="0" xfId="135" applyNumberFormat="1" applyFont="1"/>
    <xf numFmtId="0" fontId="91" fillId="0" borderId="50" xfId="135" applyFont="1" applyBorder="1"/>
    <xf numFmtId="178" fontId="91" fillId="0" borderId="0" xfId="137" applyNumberFormat="1" applyFont="1" applyBorder="1"/>
    <xf numFmtId="0" fontId="91" fillId="0" borderId="0" xfId="135" applyFont="1"/>
    <xf numFmtId="0" fontId="87" fillId="0" borderId="57" xfId="135" applyFont="1" applyBorder="1"/>
    <xf numFmtId="174" fontId="87" fillId="0" borderId="16" xfId="135" applyNumberFormat="1" applyFont="1" applyBorder="1"/>
    <xf numFmtId="0" fontId="91" fillId="34" borderId="0" xfId="135" applyFont="1" applyFill="1"/>
    <xf numFmtId="0" fontId="87" fillId="34" borderId="0" xfId="135" applyFont="1" applyFill="1"/>
    <xf numFmtId="174" fontId="87" fillId="34" borderId="0" xfId="135" applyNumberFormat="1" applyFont="1" applyFill="1"/>
    <xf numFmtId="0" fontId="91" fillId="0" borderId="95" xfId="135" applyFont="1" applyBorder="1"/>
    <xf numFmtId="178" fontId="91" fillId="0" borderId="96" xfId="137" applyNumberFormat="1" applyFont="1" applyBorder="1"/>
    <xf numFmtId="0" fontId="87" fillId="0" borderId="16" xfId="135" applyFont="1" applyBorder="1"/>
    <xf numFmtId="0" fontId="91" fillId="0" borderId="13" xfId="135" applyFont="1" applyBorder="1"/>
    <xf numFmtId="178" fontId="91" fillId="0" borderId="14" xfId="137" applyNumberFormat="1" applyFont="1" applyBorder="1"/>
    <xf numFmtId="174" fontId="91" fillId="0" borderId="14" xfId="136" applyNumberFormat="1" applyFont="1" applyBorder="1"/>
    <xf numFmtId="0" fontId="76" fillId="0" borderId="0" xfId="0" applyFont="1" applyAlignment="1">
      <alignment horizontal="left" vertical="center"/>
    </xf>
    <xf numFmtId="0" fontId="79" fillId="0" borderId="0" xfId="0" applyFont="1" applyAlignment="1">
      <alignment horizontal="left" vertical="center"/>
    </xf>
    <xf numFmtId="0" fontId="11" fillId="55" borderId="12" xfId="0" applyFont="1" applyFill="1" applyBorder="1"/>
    <xf numFmtId="43" fontId="0" fillId="55" borderId="12" xfId="122" applyFont="1" applyFill="1" applyBorder="1"/>
    <xf numFmtId="10" fontId="0" fillId="55" borderId="12" xfId="102" applyNumberFormat="1" applyFont="1" applyFill="1" applyBorder="1"/>
    <xf numFmtId="0" fontId="6" fillId="0" borderId="0" xfId="139"/>
    <xf numFmtId="174" fontId="0" fillId="0" borderId="0" xfId="140" applyNumberFormat="1" applyFont="1" applyAlignment="1"/>
    <xf numFmtId="0" fontId="6" fillId="58" borderId="0" xfId="139" applyFill="1"/>
    <xf numFmtId="174" fontId="0" fillId="58" borderId="0" xfId="140" applyNumberFormat="1" applyFont="1" applyFill="1" applyAlignment="1"/>
    <xf numFmtId="0" fontId="0" fillId="47" borderId="0" xfId="0" applyFill="1"/>
    <xf numFmtId="43" fontId="0" fillId="47" borderId="0" xfId="122" applyFont="1" applyFill="1"/>
    <xf numFmtId="0" fontId="0" fillId="60" borderId="0" xfId="0" applyFill="1"/>
    <xf numFmtId="43" fontId="0" fillId="60" borderId="0" xfId="122" applyFont="1" applyFill="1"/>
    <xf numFmtId="0" fontId="78" fillId="49" borderId="0" xfId="0" applyFont="1" applyFill="1"/>
    <xf numFmtId="43" fontId="78" fillId="49" borderId="0" xfId="0" applyNumberFormat="1" applyFont="1" applyFill="1"/>
    <xf numFmtId="0" fontId="78" fillId="0" borderId="99" xfId="0" applyFont="1" applyBorder="1" applyAlignment="1">
      <alignment horizontal="center" vertical="center"/>
    </xf>
    <xf numFmtId="0" fontId="78" fillId="39" borderId="19" xfId="0" applyFont="1" applyFill="1" applyBorder="1" applyAlignment="1">
      <alignment vertical="center"/>
    </xf>
    <xf numFmtId="0" fontId="78" fillId="39" borderId="39" xfId="0" applyFont="1" applyFill="1" applyBorder="1" applyAlignment="1">
      <alignment horizontal="center" vertical="center"/>
    </xf>
    <xf numFmtId="0" fontId="78" fillId="39" borderId="18" xfId="0" applyFont="1" applyFill="1" applyBorder="1" applyAlignment="1">
      <alignment horizontal="center" vertical="center"/>
    </xf>
    <xf numFmtId="0" fontId="5" fillId="0" borderId="0" xfId="139" applyFont="1"/>
    <xf numFmtId="0" fontId="84" fillId="61" borderId="0" xfId="139" applyFont="1" applyFill="1"/>
    <xf numFmtId="0" fontId="6" fillId="61" borderId="0" xfId="139" applyFill="1"/>
    <xf numFmtId="0" fontId="11" fillId="0" borderId="110" xfId="139" applyFont="1" applyBorder="1" applyAlignment="1">
      <alignment vertical="center"/>
    </xf>
    <xf numFmtId="0" fontId="78" fillId="49" borderId="0" xfId="0" applyFont="1" applyFill="1" applyAlignment="1">
      <alignment horizontal="centerContinuous"/>
    </xf>
    <xf numFmtId="17" fontId="11" fillId="0" borderId="12" xfId="0" applyNumberFormat="1" applyFont="1" applyBorder="1"/>
    <xf numFmtId="178" fontId="0" fillId="0" borderId="12" xfId="102" applyNumberFormat="1" applyFont="1" applyBorder="1"/>
    <xf numFmtId="0" fontId="0" fillId="0" borderId="0" xfId="0" applyAlignment="1">
      <alignment wrapText="1"/>
    </xf>
    <xf numFmtId="9" fontId="78" fillId="49" borderId="0" xfId="0" applyNumberFormat="1" applyFont="1" applyFill="1" applyAlignment="1">
      <alignment horizontal="center" vertical="center" wrapText="1"/>
    </xf>
    <xf numFmtId="10" fontId="78" fillId="49" borderId="0" xfId="0" applyNumberFormat="1" applyFont="1" applyFill="1" applyAlignment="1">
      <alignment horizontal="center" vertical="center" wrapText="1"/>
    </xf>
    <xf numFmtId="178" fontId="0" fillId="0" borderId="0" xfId="0" applyNumberFormat="1"/>
    <xf numFmtId="178" fontId="81" fillId="43" borderId="82" xfId="102" applyNumberFormat="1" applyFont="1" applyFill="1" applyBorder="1" applyAlignment="1">
      <alignment horizontal="right" vertical="center"/>
    </xf>
    <xf numFmtId="178" fontId="11" fillId="0" borderId="0" xfId="102" applyNumberFormat="1"/>
    <xf numFmtId="200" fontId="0" fillId="0" borderId="0" xfId="0" applyNumberFormat="1" applyAlignment="1">
      <alignment vertical="center"/>
    </xf>
    <xf numFmtId="9" fontId="11" fillId="43" borderId="0" xfId="102" applyFont="1" applyFill="1" applyBorder="1" applyAlignment="1">
      <alignment horizontal="center" vertical="center"/>
    </xf>
    <xf numFmtId="178" fontId="11" fillId="43" borderId="0" xfId="102" applyNumberFormat="1" applyFont="1" applyFill="1" applyBorder="1" applyAlignment="1">
      <alignment horizontal="center" vertical="center"/>
    </xf>
    <xf numFmtId="214" fontId="0" fillId="43" borderId="0" xfId="0" applyNumberFormat="1" applyFill="1" applyAlignment="1">
      <alignment vertical="center"/>
    </xf>
    <xf numFmtId="200" fontId="73" fillId="43" borderId="0" xfId="0" applyNumberFormat="1" applyFont="1" applyFill="1" applyAlignment="1">
      <alignment vertical="center"/>
    </xf>
    <xf numFmtId="189" fontId="11" fillId="0" borderId="0" xfId="0" applyNumberFormat="1" applyFont="1" applyAlignment="1">
      <alignment vertical="center"/>
    </xf>
    <xf numFmtId="178" fontId="81" fillId="43" borderId="82" xfId="102" applyNumberFormat="1" applyFont="1" applyFill="1" applyBorder="1" applyAlignment="1">
      <alignment horizontal="center" vertical="center"/>
    </xf>
    <xf numFmtId="213" fontId="6" fillId="0" borderId="0" xfId="122" applyNumberFormat="1" applyFont="1"/>
    <xf numFmtId="0" fontId="4" fillId="0" borderId="0" xfId="146"/>
    <xf numFmtId="197" fontId="0" fillId="0" borderId="0" xfId="122" applyNumberFormat="1" applyFont="1" applyAlignment="1">
      <alignment vertical="center"/>
    </xf>
    <xf numFmtId="0" fontId="89" fillId="53" borderId="0" xfId="135" applyFont="1" applyFill="1" applyAlignment="1">
      <alignment horizontal="centerContinuous"/>
    </xf>
    <xf numFmtId="0" fontId="89" fillId="62" borderId="0" xfId="135" applyFont="1" applyFill="1" applyAlignment="1">
      <alignment horizontal="centerContinuous"/>
    </xf>
    <xf numFmtId="0" fontId="90" fillId="62" borderId="0" xfId="135" applyFont="1" applyFill="1" applyAlignment="1">
      <alignment horizontal="centerContinuous"/>
    </xf>
    <xf numFmtId="0" fontId="87" fillId="0" borderId="0" xfId="135" applyFont="1" applyAlignment="1">
      <alignment horizontal="center"/>
    </xf>
    <xf numFmtId="0" fontId="88" fillId="62" borderId="0" xfId="135" applyFont="1" applyFill="1" applyAlignment="1">
      <alignment horizontal="centerContinuous"/>
    </xf>
    <xf numFmtId="0" fontId="89" fillId="52" borderId="0" xfId="135" applyFont="1" applyFill="1" applyAlignment="1">
      <alignment horizontal="centerContinuous"/>
    </xf>
    <xf numFmtId="0" fontId="90" fillId="52" borderId="0" xfId="135" applyFont="1" applyFill="1" applyAlignment="1">
      <alignment horizontal="centerContinuous"/>
    </xf>
    <xf numFmtId="0" fontId="88" fillId="52" borderId="0" xfId="135" applyFont="1" applyFill="1" applyAlignment="1">
      <alignment horizontal="centerContinuous"/>
    </xf>
    <xf numFmtId="0" fontId="92" fillId="52" borderId="0" xfId="135" applyFont="1" applyFill="1" applyAlignment="1">
      <alignment horizontal="centerContinuous"/>
    </xf>
    <xf numFmtId="0" fontId="87" fillId="52" borderId="0" xfId="135" applyFont="1" applyFill="1" applyAlignment="1">
      <alignment horizontal="centerContinuous"/>
    </xf>
    <xf numFmtId="0" fontId="89" fillId="40" borderId="35" xfId="0" applyFont="1" applyFill="1" applyBorder="1" applyAlignment="1">
      <alignment horizontal="center"/>
    </xf>
    <xf numFmtId="0" fontId="88" fillId="49" borderId="101" xfId="0" applyFont="1" applyFill="1" applyBorder="1" applyAlignment="1">
      <alignment horizontal="center"/>
    </xf>
    <xf numFmtId="0" fontId="88" fillId="49" borderId="36" xfId="0" applyFont="1" applyFill="1" applyBorder="1" applyAlignment="1">
      <alignment horizontal="center"/>
    </xf>
    <xf numFmtId="0" fontId="87" fillId="0" borderId="0" xfId="0" applyFont="1"/>
    <xf numFmtId="0" fontId="88" fillId="34" borderId="0" xfId="0" applyFont="1" applyFill="1" applyAlignment="1">
      <alignment horizontal="center"/>
    </xf>
    <xf numFmtId="174" fontId="87" fillId="0" borderId="96" xfId="122" applyNumberFormat="1" applyFont="1" applyBorder="1"/>
    <xf numFmtId="174" fontId="87" fillId="0" borderId="97" xfId="0" applyNumberFormat="1" applyFont="1" applyBorder="1"/>
    <xf numFmtId="174" fontId="87" fillId="0" borderId="0" xfId="0" applyNumberFormat="1" applyFont="1"/>
    <xf numFmtId="178" fontId="91" fillId="0" borderId="0" xfId="102" applyNumberFormat="1" applyFont="1" applyBorder="1"/>
    <xf numFmtId="178" fontId="91" fillId="0" borderId="51" xfId="102" applyNumberFormat="1" applyFont="1" applyBorder="1"/>
    <xf numFmtId="174" fontId="87" fillId="0" borderId="16" xfId="0" applyNumberFormat="1" applyFont="1" applyBorder="1"/>
    <xf numFmtId="174" fontId="87" fillId="0" borderId="98" xfId="0" applyNumberFormat="1" applyFont="1" applyBorder="1"/>
    <xf numFmtId="174" fontId="87" fillId="34" borderId="0" xfId="0" applyNumberFormat="1" applyFont="1" applyFill="1"/>
    <xf numFmtId="0" fontId="87" fillId="34" borderId="0" xfId="0" applyFont="1" applyFill="1"/>
    <xf numFmtId="178" fontId="91" fillId="0" borderId="96" xfId="102" applyNumberFormat="1" applyFont="1" applyBorder="1"/>
    <xf numFmtId="178" fontId="91" fillId="0" borderId="97" xfId="102" applyNumberFormat="1" applyFont="1" applyBorder="1"/>
    <xf numFmtId="174" fontId="91" fillId="0" borderId="14" xfId="122" applyNumberFormat="1" applyFont="1" applyBorder="1"/>
    <xf numFmtId="174" fontId="91" fillId="0" borderId="15" xfId="122" applyNumberFormat="1" applyFont="1" applyBorder="1"/>
    <xf numFmtId="0" fontId="88" fillId="49" borderId="70" xfId="0" applyFont="1" applyFill="1" applyBorder="1" applyAlignment="1">
      <alignment horizontal="centerContinuous"/>
    </xf>
    <xf numFmtId="0" fontId="92" fillId="49" borderId="70" xfId="0" applyFont="1" applyFill="1" applyBorder="1" applyAlignment="1">
      <alignment horizontal="centerContinuous"/>
    </xf>
    <xf numFmtId="0" fontId="92" fillId="49" borderId="0" xfId="0" applyFont="1" applyFill="1" applyAlignment="1">
      <alignment horizontal="centerContinuous"/>
    </xf>
    <xf numFmtId="178" fontId="87" fillId="0" borderId="0" xfId="102" applyNumberFormat="1" applyFont="1"/>
    <xf numFmtId="0" fontId="88" fillId="49" borderId="0" xfId="135" applyFont="1" applyFill="1" applyAlignment="1">
      <alignment horizontal="center"/>
    </xf>
    <xf numFmtId="0" fontId="88" fillId="49" borderId="0" xfId="135" applyFont="1" applyFill="1" applyAlignment="1">
      <alignment horizontal="center" wrapText="1"/>
    </xf>
    <xf numFmtId="10" fontId="49" fillId="0" borderId="0" xfId="102" applyNumberFormat="1" applyFont="1" applyBorder="1"/>
    <xf numFmtId="17" fontId="87" fillId="0" borderId="12" xfId="135" applyNumberFormat="1" applyFont="1" applyBorder="1"/>
    <xf numFmtId="178" fontId="87" fillId="0" borderId="12" xfId="102" applyNumberFormat="1" applyFont="1" applyBorder="1"/>
    <xf numFmtId="178" fontId="91" fillId="0" borderId="113" xfId="102" applyNumberFormat="1" applyFont="1" applyBorder="1"/>
    <xf numFmtId="174" fontId="87" fillId="0" borderId="12" xfId="122" applyNumberFormat="1" applyFont="1" applyBorder="1"/>
    <xf numFmtId="174" fontId="91" fillId="0" borderId="113" xfId="122" applyNumberFormat="1" applyFont="1" applyBorder="1"/>
    <xf numFmtId="197" fontId="12" fillId="57" borderId="12" xfId="122" applyNumberFormat="1" applyFont="1" applyFill="1" applyBorder="1" applyAlignment="1">
      <alignment horizontal="left" vertical="center"/>
    </xf>
    <xf numFmtId="197" fontId="11" fillId="47" borderId="12" xfId="123" applyNumberFormat="1" applyFont="1" applyFill="1" applyBorder="1" applyAlignment="1">
      <alignment horizontal="left" vertical="center"/>
    </xf>
    <xf numFmtId="197" fontId="0" fillId="0" borderId="12" xfId="0" applyNumberFormat="1" applyBorder="1"/>
    <xf numFmtId="0" fontId="94" fillId="0" borderId="12" xfId="0" applyFont="1" applyBorder="1" applyAlignment="1">
      <alignment horizontal="center" vertical="center"/>
    </xf>
    <xf numFmtId="0" fontId="93" fillId="0" borderId="12" xfId="0" applyFont="1" applyBorder="1" applyAlignment="1">
      <alignment vertical="center"/>
    </xf>
    <xf numFmtId="0" fontId="93" fillId="0" borderId="12" xfId="0" applyFont="1" applyBorder="1" applyAlignment="1">
      <alignment horizontal="right" vertical="center"/>
    </xf>
    <xf numFmtId="14" fontId="93" fillId="0" borderId="12" xfId="0" applyNumberFormat="1" applyFont="1" applyBorder="1" applyAlignment="1">
      <alignment horizontal="right" vertical="center"/>
    </xf>
    <xf numFmtId="4" fontId="93" fillId="0" borderId="12" xfId="0" applyNumberFormat="1" applyFont="1" applyBorder="1" applyAlignment="1">
      <alignment vertical="center"/>
    </xf>
    <xf numFmtId="43" fontId="0" fillId="0" borderId="12" xfId="122" applyFont="1" applyBorder="1" applyAlignment="1">
      <alignment vertical="center"/>
    </xf>
    <xf numFmtId="4" fontId="97" fillId="0" borderId="12" xfId="0" applyNumberFormat="1" applyFont="1" applyBorder="1" applyAlignment="1">
      <alignment vertical="center"/>
    </xf>
    <xf numFmtId="43" fontId="93" fillId="0" borderId="12" xfId="122" applyFont="1" applyBorder="1" applyAlignment="1">
      <alignment vertical="center"/>
    </xf>
    <xf numFmtId="17" fontId="93" fillId="0" borderId="12" xfId="0" applyNumberFormat="1" applyFont="1" applyBorder="1" applyAlignment="1">
      <alignment horizontal="right" vertical="center"/>
    </xf>
    <xf numFmtId="4" fontId="98" fillId="0" borderId="12" xfId="0" applyNumberFormat="1" applyFont="1" applyBorder="1" applyAlignment="1">
      <alignment vertical="center"/>
    </xf>
    <xf numFmtId="43" fontId="98" fillId="0" borderId="12" xfId="122" applyFont="1" applyBorder="1" applyAlignment="1">
      <alignment vertical="center"/>
    </xf>
    <xf numFmtId="4" fontId="12" fillId="0" borderId="113" xfId="0" applyNumberFormat="1" applyFont="1" applyBorder="1"/>
    <xf numFmtId="0" fontId="96" fillId="49" borderId="12" xfId="0" applyFont="1" applyFill="1" applyBorder="1" applyAlignment="1">
      <alignment horizontal="center" vertical="center"/>
    </xf>
    <xf numFmtId="0" fontId="96" fillId="49" borderId="12" xfId="0" applyFont="1" applyFill="1" applyBorder="1" applyAlignment="1">
      <alignment horizontal="center" vertical="center" wrapText="1"/>
    </xf>
    <xf numFmtId="14" fontId="83" fillId="49" borderId="12" xfId="0" applyNumberFormat="1" applyFont="1" applyFill="1" applyBorder="1" applyAlignment="1">
      <alignment horizontal="center" vertical="center"/>
    </xf>
    <xf numFmtId="14" fontId="83" fillId="63" borderId="12" xfId="0" applyNumberFormat="1" applyFont="1" applyFill="1" applyBorder="1" applyAlignment="1">
      <alignment horizontal="center" vertical="center"/>
    </xf>
    <xf numFmtId="10" fontId="0" fillId="0" borderId="0" xfId="102" applyNumberFormat="1" applyFont="1" applyAlignment="1">
      <alignment vertical="center"/>
    </xf>
    <xf numFmtId="0" fontId="78" fillId="64" borderId="102" xfId="139" applyFont="1" applyFill="1" applyBorder="1" applyAlignment="1">
      <alignment vertical="center"/>
    </xf>
    <xf numFmtId="43" fontId="83" fillId="64" borderId="103" xfId="140" applyFont="1" applyFill="1" applyBorder="1" applyAlignment="1">
      <alignment horizontal="centerContinuous"/>
    </xf>
    <xf numFmtId="174" fontId="83" fillId="64" borderId="104" xfId="140" applyNumberFormat="1" applyFont="1" applyFill="1" applyBorder="1" applyAlignment="1">
      <alignment horizontal="centerContinuous"/>
    </xf>
    <xf numFmtId="0" fontId="78" fillId="65" borderId="112" xfId="139" applyFont="1" applyFill="1" applyBorder="1" applyAlignment="1">
      <alignment vertical="center"/>
    </xf>
    <xf numFmtId="174" fontId="83" fillId="65" borderId="91" xfId="140" applyNumberFormat="1" applyFont="1" applyFill="1" applyBorder="1" applyAlignment="1">
      <alignment horizontal="center" vertical="center"/>
    </xf>
    <xf numFmtId="0" fontId="78" fillId="65" borderId="108" xfId="139" applyFont="1" applyFill="1" applyBorder="1" applyAlignment="1">
      <alignment vertical="center"/>
    </xf>
    <xf numFmtId="174" fontId="83" fillId="65" borderId="109" xfId="140" applyNumberFormat="1" applyFont="1" applyFill="1" applyBorder="1" applyAlignment="1">
      <alignment vertical="center"/>
    </xf>
    <xf numFmtId="0" fontId="2" fillId="0" borderId="0" xfId="139" applyFont="1"/>
    <xf numFmtId="174" fontId="12" fillId="32" borderId="15" xfId="122" applyNumberFormat="1" applyFont="1" applyFill="1" applyBorder="1" applyAlignment="1">
      <alignment horizontal="left"/>
    </xf>
    <xf numFmtId="0" fontId="11" fillId="34" borderId="12" xfId="94" applyFill="1" applyBorder="1" applyAlignment="1">
      <alignment vertical="center"/>
    </xf>
    <xf numFmtId="0" fontId="78" fillId="66" borderId="19" xfId="0" applyFont="1" applyFill="1" applyBorder="1" applyAlignment="1">
      <alignment vertical="center"/>
    </xf>
    <xf numFmtId="0" fontId="78" fillId="66" borderId="39" xfId="0" applyFont="1" applyFill="1" applyBorder="1" applyAlignment="1">
      <alignment horizontal="center" vertical="center"/>
    </xf>
    <xf numFmtId="0" fontId="78" fillId="66" borderId="18" xfId="0" applyFont="1" applyFill="1" applyBorder="1" applyAlignment="1">
      <alignment horizontal="center" vertical="center"/>
    </xf>
    <xf numFmtId="209" fontId="12" fillId="35" borderId="18" xfId="0" applyNumberFormat="1" applyFont="1" applyFill="1" applyBorder="1" applyAlignment="1">
      <alignment horizontal="left"/>
    </xf>
    <xf numFmtId="0" fontId="91" fillId="34" borderId="0" xfId="135" applyFont="1" applyFill="1" applyAlignment="1">
      <alignment horizontal="centerContinuous"/>
    </xf>
    <xf numFmtId="0" fontId="87" fillId="34" borderId="0" xfId="135" applyFont="1" applyFill="1" applyAlignment="1">
      <alignment horizontal="centerContinuous"/>
    </xf>
    <xf numFmtId="0" fontId="87" fillId="32" borderId="0" xfId="135" applyFont="1" applyFill="1"/>
    <xf numFmtId="0" fontId="11" fillId="59" borderId="37" xfId="139" applyFont="1" applyFill="1" applyBorder="1" applyAlignment="1">
      <alignment vertical="center"/>
    </xf>
    <xf numFmtId="180" fontId="83" fillId="65" borderId="106" xfId="140" applyNumberFormat="1" applyFont="1" applyFill="1" applyBorder="1" applyAlignment="1">
      <alignment horizontal="center" vertical="center"/>
    </xf>
    <xf numFmtId="196" fontId="3" fillId="0" borderId="56" xfId="122" applyNumberFormat="1" applyFont="1" applyFill="1" applyBorder="1" applyAlignment="1">
      <alignment vertical="center"/>
    </xf>
    <xf numFmtId="196" fontId="3" fillId="59" borderId="49" xfId="122" applyNumberFormat="1" applyFont="1" applyFill="1" applyBorder="1" applyAlignment="1">
      <alignment vertical="center"/>
    </xf>
    <xf numFmtId="174" fontId="11" fillId="52" borderId="12" xfId="122" applyNumberFormat="1" applyFont="1" applyFill="1" applyBorder="1" applyAlignment="1">
      <alignment horizontal="center"/>
    </xf>
    <xf numFmtId="0" fontId="78" fillId="0" borderId="0" xfId="0" applyFont="1" applyAlignment="1">
      <alignment vertical="center"/>
    </xf>
    <xf numFmtId="9" fontId="0" fillId="0" borderId="0" xfId="102" applyFont="1" applyFill="1" applyBorder="1" applyAlignment="1">
      <alignment vertical="center"/>
    </xf>
    <xf numFmtId="10" fontId="0" fillId="0" borderId="0" xfId="102" applyNumberFormat="1" applyFont="1" applyFill="1" applyBorder="1" applyAlignment="1">
      <alignment vertical="center"/>
    </xf>
    <xf numFmtId="180" fontId="6" fillId="0" borderId="111" xfId="140" applyNumberFormat="1" applyFont="1" applyFill="1" applyBorder="1" applyAlignment="1">
      <alignment horizontal="center" vertical="center"/>
    </xf>
    <xf numFmtId="180" fontId="6" fillId="59" borderId="105" xfId="140" applyNumberFormat="1" applyFont="1" applyFill="1" applyBorder="1" applyAlignment="1">
      <alignment horizontal="center" vertical="center"/>
    </xf>
    <xf numFmtId="180" fontId="83" fillId="65" borderId="107" xfId="140" applyNumberFormat="1" applyFont="1" applyFill="1" applyBorder="1" applyAlignment="1">
      <alignment horizontal="center" vertical="center"/>
    </xf>
    <xf numFmtId="0" fontId="74" fillId="0" borderId="0" xfId="139" applyFont="1"/>
    <xf numFmtId="174" fontId="6" fillId="0" borderId="56" xfId="140" applyNumberFormat="1" applyFont="1" applyFill="1" applyBorder="1" applyAlignment="1">
      <alignment horizontal="center" vertical="center"/>
    </xf>
    <xf numFmtId="174" fontId="6" fillId="59" borderId="49" xfId="140" applyNumberFormat="1" applyFont="1" applyFill="1" applyBorder="1" applyAlignment="1">
      <alignment horizontal="center" vertical="center"/>
    </xf>
    <xf numFmtId="193" fontId="83" fillId="65" borderId="109" xfId="140" applyNumberFormat="1" applyFont="1" applyFill="1" applyBorder="1" applyAlignment="1">
      <alignment horizontal="left" vertical="center" indent="3"/>
    </xf>
    <xf numFmtId="178" fontId="87" fillId="0" borderId="0" xfId="102" applyNumberFormat="1" applyFont="1" applyAlignment="1">
      <alignment horizontal="center"/>
    </xf>
    <xf numFmtId="209" fontId="11" fillId="0" borderId="76" xfId="0" applyNumberFormat="1" applyFont="1" applyBorder="1" applyAlignment="1">
      <alignment horizontal="center" vertical="center"/>
    </xf>
    <xf numFmtId="197" fontId="0" fillId="0" borderId="0" xfId="122" applyNumberFormat="1" applyFont="1" applyBorder="1"/>
    <xf numFmtId="0" fontId="78" fillId="37" borderId="19" xfId="0" applyFont="1" applyFill="1" applyBorder="1" applyAlignment="1">
      <alignment vertical="center"/>
    </xf>
    <xf numFmtId="0" fontId="78" fillId="37" borderId="39" xfId="0" applyFont="1" applyFill="1" applyBorder="1" applyAlignment="1">
      <alignment horizontal="center" vertical="center"/>
    </xf>
    <xf numFmtId="0" fontId="78" fillId="37" borderId="18" xfId="0" applyFont="1" applyFill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49" fillId="0" borderId="51" xfId="98" applyFont="1" applyBorder="1" applyAlignment="1">
      <alignment horizontal="center"/>
    </xf>
    <xf numFmtId="0" fontId="52" fillId="0" borderId="100" xfId="98" applyFont="1" applyBorder="1"/>
    <xf numFmtId="0" fontId="100" fillId="0" borderId="96" xfId="0" applyFont="1" applyBorder="1" applyAlignment="1">
      <alignment horizontal="left" vertical="center"/>
    </xf>
    <xf numFmtId="0" fontId="100" fillId="0" borderId="96" xfId="0" applyFont="1" applyBorder="1" applyAlignment="1">
      <alignment horizontal="center" vertical="center"/>
    </xf>
    <xf numFmtId="14" fontId="100" fillId="0" borderId="96" xfId="0" applyNumberFormat="1" applyFont="1" applyBorder="1" applyAlignment="1">
      <alignment horizontal="center" vertical="center"/>
    </xf>
    <xf numFmtId="4" fontId="100" fillId="0" borderId="96" xfId="0" applyNumberFormat="1" applyFont="1" applyBorder="1" applyAlignment="1">
      <alignment horizontal="left" vertical="center"/>
    </xf>
    <xf numFmtId="0" fontId="101" fillId="0" borderId="0" xfId="0" applyFont="1" applyAlignment="1">
      <alignment horizontal="center" vertical="center"/>
    </xf>
    <xf numFmtId="0" fontId="84" fillId="0" borderId="0" xfId="146" applyFont="1"/>
    <xf numFmtId="43" fontId="100" fillId="0" borderId="96" xfId="122" applyFont="1" applyBorder="1" applyAlignment="1">
      <alignment vertical="center"/>
    </xf>
    <xf numFmtId="0" fontId="4" fillId="0" borderId="95" xfId="146" applyBorder="1"/>
    <xf numFmtId="0" fontId="4" fillId="0" borderId="96" xfId="146" applyBorder="1"/>
    <xf numFmtId="0" fontId="4" fillId="0" borderId="97" xfId="146" applyBorder="1"/>
    <xf numFmtId="0" fontId="4" fillId="0" borderId="50" xfId="146" applyBorder="1"/>
    <xf numFmtId="0" fontId="4" fillId="0" borderId="51" xfId="146" applyBorder="1"/>
    <xf numFmtId="43" fontId="4" fillId="0" borderId="51" xfId="122" applyFont="1" applyBorder="1"/>
    <xf numFmtId="0" fontId="78" fillId="63" borderId="0" xfId="0" applyFont="1" applyFill="1" applyAlignment="1">
      <alignment horizontal="centerContinuous"/>
    </xf>
    <xf numFmtId="0" fontId="83" fillId="49" borderId="0" xfId="146" applyFont="1" applyFill="1"/>
    <xf numFmtId="4" fontId="83" fillId="49" borderId="0" xfId="146" applyNumberFormat="1" applyFont="1" applyFill="1"/>
    <xf numFmtId="0" fontId="4" fillId="0" borderId="57" xfId="146" applyBorder="1"/>
    <xf numFmtId="0" fontId="4" fillId="0" borderId="16" xfId="146" applyBorder="1"/>
    <xf numFmtId="0" fontId="4" fillId="0" borderId="98" xfId="146" applyBorder="1"/>
    <xf numFmtId="0" fontId="100" fillId="0" borderId="0" xfId="0" applyFont="1" applyAlignment="1">
      <alignment horizontal="left" vertical="center"/>
    </xf>
    <xf numFmtId="0" fontId="100" fillId="0" borderId="0" xfId="0" applyFont="1" applyAlignment="1">
      <alignment horizontal="center" vertical="center"/>
    </xf>
    <xf numFmtId="14" fontId="100" fillId="0" borderId="0" xfId="0" applyNumberFormat="1" applyFont="1" applyAlignment="1">
      <alignment horizontal="center" vertical="center"/>
    </xf>
    <xf numFmtId="43" fontId="100" fillId="0" borderId="0" xfId="122" applyFont="1" applyBorder="1" applyAlignment="1">
      <alignment vertical="center"/>
    </xf>
    <xf numFmtId="4" fontId="100" fillId="0" borderId="0" xfId="0" applyNumberFormat="1" applyFont="1" applyAlignment="1">
      <alignment horizontal="left" vertical="center"/>
    </xf>
    <xf numFmtId="0" fontId="100" fillId="0" borderId="0" xfId="0" applyFont="1" applyAlignment="1">
      <alignment horizontal="left"/>
    </xf>
    <xf numFmtId="0" fontId="100" fillId="0" borderId="0" xfId="0" applyFont="1" applyAlignment="1">
      <alignment horizontal="center"/>
    </xf>
    <xf numFmtId="14" fontId="100" fillId="0" borderId="0" xfId="0" applyNumberFormat="1" applyFont="1" applyAlignment="1">
      <alignment horizontal="center"/>
    </xf>
    <xf numFmtId="43" fontId="100" fillId="0" borderId="0" xfId="122" applyFont="1" applyBorder="1" applyAlignment="1">
      <alignment horizontal="right"/>
    </xf>
    <xf numFmtId="4" fontId="100" fillId="0" borderId="0" xfId="0" applyNumberFormat="1" applyFont="1" applyAlignment="1">
      <alignment horizontal="left"/>
    </xf>
    <xf numFmtId="196" fontId="100" fillId="0" borderId="0" xfId="122" applyNumberFormat="1" applyFont="1" applyBorder="1" applyAlignment="1">
      <alignment horizontal="right"/>
    </xf>
    <xf numFmtId="0" fontId="100" fillId="0" borderId="0" xfId="0" applyFont="1"/>
    <xf numFmtId="14" fontId="101" fillId="0" borderId="0" xfId="0" applyNumberFormat="1" applyFont="1" applyAlignment="1">
      <alignment horizontal="center"/>
    </xf>
    <xf numFmtId="0" fontId="100" fillId="0" borderId="0" xfId="0" applyFont="1" applyAlignment="1">
      <alignment vertical="center"/>
    </xf>
    <xf numFmtId="14" fontId="101" fillId="0" borderId="0" xfId="0" applyNumberFormat="1" applyFont="1" applyAlignment="1">
      <alignment horizontal="center" vertical="center"/>
    </xf>
    <xf numFmtId="0" fontId="101" fillId="0" borderId="0" xfId="0" applyFont="1" applyAlignment="1">
      <alignment vertical="center"/>
    </xf>
    <xf numFmtId="0" fontId="101" fillId="0" borderId="0" xfId="0" applyFont="1"/>
    <xf numFmtId="0" fontId="101" fillId="0" borderId="0" xfId="0" applyFont="1" applyAlignment="1">
      <alignment horizontal="center"/>
    </xf>
    <xf numFmtId="0" fontId="4" fillId="0" borderId="0" xfId="146" applyAlignment="1">
      <alignment wrapText="1"/>
    </xf>
    <xf numFmtId="0" fontId="99" fillId="0" borderId="0" xfId="0" applyFont="1" applyAlignment="1">
      <alignment horizontal="left" vertical="center" wrapText="1"/>
    </xf>
    <xf numFmtId="4" fontId="0" fillId="0" borderId="0" xfId="0" applyNumberFormat="1"/>
    <xf numFmtId="43" fontId="4" fillId="0" borderId="12" xfId="122" applyFont="1" applyBorder="1"/>
    <xf numFmtId="0" fontId="4" fillId="0" borderId="0" xfId="146" applyAlignment="1">
      <alignment horizontal="center"/>
    </xf>
    <xf numFmtId="0" fontId="0" fillId="0" borderId="12" xfId="0" applyBorder="1" applyAlignment="1">
      <alignment horizontal="center"/>
    </xf>
    <xf numFmtId="0" fontId="83" fillId="63" borderId="12" xfId="146" applyFont="1" applyFill="1" applyBorder="1" applyAlignment="1">
      <alignment horizontal="center" wrapText="1"/>
    </xf>
    <xf numFmtId="43" fontId="4" fillId="0" borderId="0" xfId="146" applyNumberFormat="1"/>
    <xf numFmtId="14" fontId="0" fillId="0" borderId="12" xfId="0" applyNumberFormat="1" applyBorder="1" applyAlignment="1">
      <alignment horizontal="center"/>
    </xf>
    <xf numFmtId="43" fontId="4" fillId="0" borderId="12" xfId="146" applyNumberFormat="1" applyBorder="1"/>
    <xf numFmtId="0" fontId="102" fillId="63" borderId="16" xfId="0" applyFont="1" applyFill="1" applyBorder="1" applyAlignment="1">
      <alignment horizontal="center" vertical="center" wrapText="1"/>
    </xf>
    <xf numFmtId="174" fontId="12" fillId="67" borderId="12" xfId="122" applyNumberFormat="1" applyFont="1" applyFill="1" applyBorder="1" applyAlignment="1">
      <alignment horizontal="left" vertical="center"/>
    </xf>
    <xf numFmtId="209" fontId="11" fillId="0" borderId="85" xfId="0" applyNumberFormat="1" applyFont="1" applyBorder="1" applyAlignment="1">
      <alignment horizontal="center" vertical="center"/>
    </xf>
    <xf numFmtId="209" fontId="11" fillId="0" borderId="38" xfId="0" applyNumberFormat="1" applyFont="1" applyBorder="1" applyAlignment="1">
      <alignment horizontal="center" vertical="center"/>
    </xf>
    <xf numFmtId="209" fontId="11" fillId="0" borderId="26" xfId="0" applyNumberFormat="1" applyFont="1" applyBorder="1" applyAlignment="1">
      <alignment horizontal="center" vertical="center"/>
    </xf>
    <xf numFmtId="0" fontId="84" fillId="36" borderId="12" xfId="0" applyFont="1" applyFill="1" applyBorder="1"/>
    <xf numFmtId="0" fontId="12" fillId="0" borderId="12" xfId="0" applyFont="1" applyBorder="1" applyAlignment="1">
      <alignment horizontal="center"/>
    </xf>
    <xf numFmtId="43" fontId="11" fillId="36" borderId="0" xfId="94" applyNumberFormat="1" applyFill="1" applyAlignment="1">
      <alignment vertical="center"/>
    </xf>
    <xf numFmtId="0" fontId="78" fillId="39" borderId="0" xfId="0" applyFont="1" applyFill="1" applyAlignment="1">
      <alignment horizontal="center" vertical="center"/>
    </xf>
    <xf numFmtId="0" fontId="78" fillId="39" borderId="12" xfId="0" applyFont="1" applyFill="1" applyBorder="1" applyAlignment="1">
      <alignment horizontal="center" vertical="center"/>
    </xf>
    <xf numFmtId="4" fontId="0" fillId="0" borderId="12" xfId="0" applyNumberFormat="1" applyBorder="1"/>
    <xf numFmtId="196" fontId="0" fillId="0" borderId="12" xfId="122" applyNumberFormat="1" applyFont="1" applyBorder="1"/>
    <xf numFmtId="14" fontId="78" fillId="39" borderId="12" xfId="0" applyNumberFormat="1" applyFont="1" applyFill="1" applyBorder="1" applyAlignment="1">
      <alignment horizontal="center"/>
    </xf>
    <xf numFmtId="43" fontId="12" fillId="0" borderId="12" xfId="0" applyNumberFormat="1" applyFont="1" applyBorder="1"/>
    <xf numFmtId="17" fontId="0" fillId="0" borderId="12" xfId="0" applyNumberFormat="1" applyBorder="1" applyAlignment="1">
      <alignment horizontal="center"/>
    </xf>
    <xf numFmtId="43" fontId="12" fillId="0" borderId="12" xfId="122" applyFont="1" applyBorder="1"/>
    <xf numFmtId="0" fontId="17" fillId="0" borderId="0" xfId="0" applyFont="1"/>
    <xf numFmtId="17" fontId="12" fillId="0" borderId="12" xfId="0" applyNumberFormat="1" applyFont="1" applyBorder="1" applyAlignment="1">
      <alignment horizontal="center"/>
    </xf>
    <xf numFmtId="14" fontId="49" fillId="0" borderId="50" xfId="98" applyNumberFormat="1" applyFont="1" applyBorder="1" applyAlignment="1">
      <alignment horizontal="right"/>
    </xf>
    <xf numFmtId="0" fontId="1" fillId="0" borderId="0" xfId="148"/>
    <xf numFmtId="49" fontId="49" fillId="0" borderId="0" xfId="0" applyNumberFormat="1" applyFont="1"/>
    <xf numFmtId="49" fontId="11" fillId="0" borderId="12" xfId="0" applyNumberFormat="1" applyFont="1" applyBorder="1" applyAlignment="1">
      <alignment horizontal="center"/>
    </xf>
    <xf numFmtId="0" fontId="11" fillId="37" borderId="0" xfId="0" applyFont="1" applyFill="1"/>
    <xf numFmtId="4" fontId="0" fillId="37" borderId="12" xfId="0" applyNumberFormat="1" applyFill="1" applyBorder="1"/>
    <xf numFmtId="43" fontId="11" fillId="34" borderId="12" xfId="122" applyFont="1" applyFill="1" applyBorder="1" applyAlignment="1">
      <alignment vertical="center"/>
    </xf>
    <xf numFmtId="213" fontId="12" fillId="32" borderId="12" xfId="122" applyNumberFormat="1" applyFont="1" applyFill="1" applyBorder="1" applyAlignment="1">
      <alignment horizontal="left" vertical="center"/>
    </xf>
    <xf numFmtId="213" fontId="0" fillId="0" borderId="0" xfId="0" applyNumberFormat="1"/>
    <xf numFmtId="184" fontId="17" fillId="0" borderId="0" xfId="93" applyNumberFormat="1" applyFont="1" applyAlignment="1">
      <alignment vertical="center"/>
    </xf>
    <xf numFmtId="0" fontId="0" fillId="0" borderId="0" xfId="0" applyAlignment="1">
      <alignment horizontal="left" vertical="center"/>
    </xf>
    <xf numFmtId="0" fontId="12" fillId="0" borderId="55" xfId="95" applyFont="1" applyBorder="1" applyAlignment="1">
      <alignment horizontal="center" vertical="center" wrapText="1"/>
    </xf>
    <xf numFmtId="0" fontId="12" fillId="0" borderId="49" xfId="95" applyFont="1" applyBorder="1" applyAlignment="1">
      <alignment horizontal="center" vertical="center" wrapText="1"/>
    </xf>
    <xf numFmtId="0" fontId="12" fillId="0" borderId="56" xfId="95" applyFont="1" applyBorder="1" applyAlignment="1">
      <alignment horizontal="center" vertical="center" wrapText="1"/>
    </xf>
    <xf numFmtId="0" fontId="12" fillId="0" borderId="13" xfId="95" applyFont="1" applyBorder="1" applyAlignment="1">
      <alignment horizontal="center" vertical="center"/>
    </xf>
    <xf numFmtId="0" fontId="12" fillId="0" borderId="14" xfId="95" applyFont="1" applyBorder="1" applyAlignment="1">
      <alignment horizontal="center" vertical="center"/>
    </xf>
    <xf numFmtId="0" fontId="12" fillId="0" borderId="15" xfId="95" applyFont="1" applyBorder="1" applyAlignment="1">
      <alignment horizontal="center" vertical="center"/>
    </xf>
    <xf numFmtId="184" fontId="12" fillId="0" borderId="13" xfId="95" applyNumberFormat="1" applyFont="1" applyBorder="1" applyAlignment="1">
      <alignment horizontal="center" vertical="center"/>
    </xf>
    <xf numFmtId="184" fontId="12" fillId="0" borderId="14" xfId="95" applyNumberFormat="1" applyFont="1" applyBorder="1" applyAlignment="1">
      <alignment horizontal="center" vertical="center"/>
    </xf>
    <xf numFmtId="184" fontId="12" fillId="0" borderId="15" xfId="95" applyNumberFormat="1" applyFont="1" applyBorder="1" applyAlignment="1">
      <alignment horizontal="center" vertical="center"/>
    </xf>
    <xf numFmtId="184" fontId="12" fillId="0" borderId="55" xfId="95" applyNumberFormat="1" applyFont="1" applyBorder="1" applyAlignment="1">
      <alignment horizontal="center" vertical="center" wrapText="1"/>
    </xf>
    <xf numFmtId="184" fontId="12" fillId="0" borderId="56" xfId="95" applyNumberFormat="1" applyFont="1" applyBorder="1" applyAlignment="1">
      <alignment horizontal="center" vertical="center" wrapText="1"/>
    </xf>
    <xf numFmtId="0" fontId="12" fillId="25" borderId="12" xfId="93" applyFont="1" applyFill="1" applyBorder="1" applyAlignment="1">
      <alignment horizontal="center" vertical="center"/>
    </xf>
    <xf numFmtId="0" fontId="12" fillId="25" borderId="55" xfId="93" applyFont="1" applyFill="1" applyBorder="1" applyAlignment="1">
      <alignment horizontal="center" vertical="center" wrapText="1"/>
    </xf>
    <xf numFmtId="0" fontId="12" fillId="25" borderId="56" xfId="93" applyFont="1" applyFill="1" applyBorder="1" applyAlignment="1">
      <alignment horizontal="center" vertical="center" wrapText="1"/>
    </xf>
    <xf numFmtId="0" fontId="12" fillId="0" borderId="23" xfId="93" applyFont="1" applyBorder="1" applyAlignment="1">
      <alignment horizontal="center" vertical="center" wrapText="1"/>
    </xf>
    <xf numFmtId="0" fontId="12" fillId="0" borderId="25" xfId="93" applyFont="1" applyBorder="1" applyAlignment="1">
      <alignment horizontal="center" vertical="center" wrapText="1"/>
    </xf>
    <xf numFmtId="0" fontId="12" fillId="0" borderId="20" xfId="93" applyFont="1" applyBorder="1" applyAlignment="1">
      <alignment horizontal="center" vertical="center" wrapText="1"/>
    </xf>
    <xf numFmtId="0" fontId="12" fillId="0" borderId="22" xfId="93" applyFont="1" applyBorder="1" applyAlignment="1">
      <alignment horizontal="center" vertical="center" wrapText="1"/>
    </xf>
    <xf numFmtId="0" fontId="12" fillId="0" borderId="55" xfId="94" applyFont="1" applyBorder="1" applyAlignment="1">
      <alignment horizontal="center" wrapText="1"/>
    </xf>
    <xf numFmtId="0" fontId="12" fillId="0" borderId="56" xfId="94" applyFont="1" applyBorder="1" applyAlignment="1">
      <alignment horizontal="center" wrapText="1"/>
    </xf>
    <xf numFmtId="0" fontId="12" fillId="25" borderId="55" xfId="94" applyFont="1" applyFill="1" applyBorder="1" applyAlignment="1">
      <alignment horizontal="center" vertical="center"/>
    </xf>
    <xf numFmtId="0" fontId="12" fillId="25" borderId="56" xfId="94" applyFont="1" applyFill="1" applyBorder="1" applyAlignment="1">
      <alignment horizontal="center" vertical="center"/>
    </xf>
    <xf numFmtId="0" fontId="12" fillId="25" borderId="13" xfId="94" applyFont="1" applyFill="1" applyBorder="1" applyAlignment="1">
      <alignment horizontal="center" vertical="center"/>
    </xf>
    <xf numFmtId="0" fontId="12" fillId="25" borderId="14" xfId="94" applyFont="1" applyFill="1" applyBorder="1" applyAlignment="1">
      <alignment horizontal="center" vertical="center"/>
    </xf>
    <xf numFmtId="0" fontId="12" fillId="25" borderId="15" xfId="94" applyFont="1" applyFill="1" applyBorder="1" applyAlignment="1">
      <alignment horizontal="center" vertical="center"/>
    </xf>
    <xf numFmtId="0" fontId="12" fillId="0" borderId="58" xfId="94" applyFont="1" applyBorder="1" applyAlignment="1">
      <alignment horizontal="center" vertical="center" wrapText="1"/>
    </xf>
    <xf numFmtId="0" fontId="12" fillId="0" borderId="59" xfId="94" applyFont="1" applyBorder="1" applyAlignment="1">
      <alignment horizontal="center" vertical="center"/>
    </xf>
    <xf numFmtId="0" fontId="12" fillId="25" borderId="57" xfId="94" applyFont="1" applyFill="1" applyBorder="1" applyAlignment="1">
      <alignment horizontal="center" vertical="center"/>
    </xf>
    <xf numFmtId="0" fontId="12" fillId="25" borderId="12" xfId="0" applyFont="1" applyFill="1" applyBorder="1" applyAlignment="1">
      <alignment horizontal="center" vertical="center"/>
    </xf>
    <xf numFmtId="0" fontId="12" fillId="26" borderId="13" xfId="0" applyFont="1" applyFill="1" applyBorder="1" applyAlignment="1">
      <alignment horizontal="center" vertical="center"/>
    </xf>
    <xf numFmtId="0" fontId="12" fillId="26" borderId="15" xfId="0" applyFont="1" applyFill="1" applyBorder="1" applyAlignment="1">
      <alignment horizontal="center" vertical="center"/>
    </xf>
    <xf numFmtId="0" fontId="47" fillId="0" borderId="0" xfId="98" applyFont="1" applyAlignment="1">
      <alignment horizontal="center"/>
    </xf>
    <xf numFmtId="0" fontId="50" fillId="0" borderId="60" xfId="98" applyFont="1" applyBorder="1" applyAlignment="1">
      <alignment horizontal="center"/>
    </xf>
    <xf numFmtId="0" fontId="50" fillId="0" borderId="61" xfId="98" applyFont="1" applyBorder="1" applyAlignment="1">
      <alignment horizontal="center"/>
    </xf>
    <xf numFmtId="0" fontId="22" fillId="0" borderId="0" xfId="0" applyFont="1" applyAlignment="1">
      <alignment horizontal="center"/>
    </xf>
    <xf numFmtId="0" fontId="50" fillId="0" borderId="60" xfId="0" applyFont="1" applyBorder="1" applyAlignment="1">
      <alignment horizontal="center"/>
    </xf>
    <xf numFmtId="0" fontId="50" fillId="0" borderId="61" xfId="0" applyFont="1" applyBorder="1" applyAlignment="1">
      <alignment horizontal="center"/>
    </xf>
    <xf numFmtId="0" fontId="47" fillId="0" borderId="0" xfId="0" applyFont="1" applyAlignment="1">
      <alignment horizontal="center"/>
    </xf>
    <xf numFmtId="0" fontId="12" fillId="0" borderId="12" xfId="0" applyFont="1" applyBorder="1" applyAlignment="1">
      <alignment horizontal="left" vertical="center"/>
    </xf>
    <xf numFmtId="0" fontId="12" fillId="0" borderId="12" xfId="0" applyFont="1" applyBorder="1" applyAlignment="1">
      <alignment horizontal="center" vertical="center"/>
    </xf>
    <xf numFmtId="0" fontId="84" fillId="0" borderId="12" xfId="0" applyFont="1" applyBorder="1" applyAlignment="1">
      <alignment horizontal="center" vertical="center"/>
    </xf>
    <xf numFmtId="0" fontId="84" fillId="0" borderId="95" xfId="0" applyFont="1" applyBorder="1" applyAlignment="1">
      <alignment horizontal="center" vertical="center"/>
    </xf>
    <xf numFmtId="0" fontId="84" fillId="0" borderId="50" xfId="0" applyFont="1" applyBorder="1" applyAlignment="1">
      <alignment horizontal="center" vertical="center"/>
    </xf>
    <xf numFmtId="0" fontId="84" fillId="0" borderId="57" xfId="0" applyFont="1" applyBorder="1" applyAlignment="1">
      <alignment horizontal="center" vertical="center"/>
    </xf>
    <xf numFmtId="44" fontId="30" fillId="0" borderId="97" xfId="84" applyFont="1" applyBorder="1" applyAlignment="1">
      <alignment horizontal="center" vertical="center" wrapText="1"/>
    </xf>
    <xf numFmtId="44" fontId="30" fillId="0" borderId="51" xfId="84" applyFont="1" applyBorder="1" applyAlignment="1">
      <alignment horizontal="center" vertical="center" wrapText="1"/>
    </xf>
    <xf numFmtId="44" fontId="30" fillId="0" borderId="98" xfId="84" applyFont="1" applyBorder="1" applyAlignment="1">
      <alignment horizontal="center" vertical="center" wrapText="1"/>
    </xf>
    <xf numFmtId="0" fontId="84" fillId="0" borderId="55" xfId="0" applyFont="1" applyBorder="1" applyAlignment="1">
      <alignment horizontal="center" vertical="center"/>
    </xf>
    <xf numFmtId="0" fontId="84" fillId="0" borderId="56" xfId="0" applyFont="1" applyBorder="1" applyAlignment="1">
      <alignment horizontal="center" vertical="center"/>
    </xf>
    <xf numFmtId="0" fontId="30" fillId="0" borderId="12" xfId="0" applyFont="1" applyBorder="1" applyAlignment="1">
      <alignment horizontal="left" vertical="center" wrapText="1"/>
    </xf>
    <xf numFmtId="0" fontId="12" fillId="25" borderId="13" xfId="0" applyFont="1" applyFill="1" applyBorder="1" applyAlignment="1">
      <alignment horizontal="center" vertical="center"/>
    </xf>
    <xf numFmtId="0" fontId="12" fillId="25" borderId="15" xfId="0" applyFont="1" applyFill="1" applyBorder="1" applyAlignment="1">
      <alignment horizontal="center" vertical="center"/>
    </xf>
    <xf numFmtId="0" fontId="84" fillId="0" borderId="49" xfId="0" applyFont="1" applyBorder="1" applyAlignment="1">
      <alignment horizontal="center" vertical="center"/>
    </xf>
    <xf numFmtId="0" fontId="78" fillId="39" borderId="97" xfId="0" applyFont="1" applyFill="1" applyBorder="1" applyAlignment="1">
      <alignment horizontal="center" vertical="center"/>
    </xf>
    <xf numFmtId="0" fontId="78" fillId="39" borderId="51" xfId="0" applyFont="1" applyFill="1" applyBorder="1" applyAlignment="1">
      <alignment horizontal="center" vertical="center"/>
    </xf>
    <xf numFmtId="0" fontId="78" fillId="39" borderId="98" xfId="0" applyFont="1" applyFill="1" applyBorder="1" applyAlignment="1">
      <alignment horizontal="center" vertical="center"/>
    </xf>
    <xf numFmtId="0" fontId="1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2" fillId="55" borderId="13" xfId="94" applyFont="1" applyFill="1" applyBorder="1" applyAlignment="1">
      <alignment horizontal="center" vertical="center" wrapText="1"/>
    </xf>
    <xf numFmtId="0" fontId="12" fillId="55" borderId="15" xfId="94" applyFont="1" applyFill="1" applyBorder="1" applyAlignment="1">
      <alignment horizontal="center" vertical="center" wrapText="1"/>
    </xf>
    <xf numFmtId="0" fontId="12" fillId="55" borderId="12" xfId="94" applyFont="1" applyFill="1" applyBorder="1" applyAlignment="1">
      <alignment horizontal="center" vertical="center"/>
    </xf>
    <xf numFmtId="0" fontId="12" fillId="55" borderId="55" xfId="94" applyFont="1" applyFill="1" applyBorder="1" applyAlignment="1">
      <alignment horizontal="center" vertical="center"/>
    </xf>
    <xf numFmtId="0" fontId="12" fillId="55" borderId="56" xfId="94" applyFont="1" applyFill="1" applyBorder="1" applyAlignment="1">
      <alignment horizontal="center" vertical="center"/>
    </xf>
    <xf numFmtId="0" fontId="78" fillId="39" borderId="16" xfId="94" applyFont="1" applyFill="1" applyBorder="1" applyAlignment="1">
      <alignment horizontal="center" vertical="center"/>
    </xf>
  </cellXfs>
  <cellStyles count="149">
    <cellStyle name="20% - Accent1" xfId="1" xr:uid="{00000000-0005-0000-0000-000000000000}"/>
    <cellStyle name="20% - Accent2" xfId="2" xr:uid="{00000000-0005-0000-0000-000001000000}"/>
    <cellStyle name="20% - Accent3" xfId="3" xr:uid="{00000000-0005-0000-0000-000002000000}"/>
    <cellStyle name="20% - Accent4" xfId="4" xr:uid="{00000000-0005-0000-0000-000003000000}"/>
    <cellStyle name="20% - Accent5" xfId="5" xr:uid="{00000000-0005-0000-0000-000004000000}"/>
    <cellStyle name="20% - Accent6" xfId="6" xr:uid="{00000000-0005-0000-0000-000005000000}"/>
    <cellStyle name="20% - Ênfase1 2" xfId="7" xr:uid="{00000000-0005-0000-0000-000006000000}"/>
    <cellStyle name="20% - Ênfase2 2" xfId="8" xr:uid="{00000000-0005-0000-0000-000007000000}"/>
    <cellStyle name="20% - Ênfase3 2" xfId="9" xr:uid="{00000000-0005-0000-0000-000008000000}"/>
    <cellStyle name="20% - Ênfase4 2" xfId="10" xr:uid="{00000000-0005-0000-0000-000009000000}"/>
    <cellStyle name="20% - Ênfase5 2" xfId="11" xr:uid="{00000000-0005-0000-0000-00000A000000}"/>
    <cellStyle name="20% - Ênfase6 2" xfId="12" xr:uid="{00000000-0005-0000-0000-00000B000000}"/>
    <cellStyle name="40% - Accent1" xfId="13" xr:uid="{00000000-0005-0000-0000-00000C000000}"/>
    <cellStyle name="40% - Accent2" xfId="14" xr:uid="{00000000-0005-0000-0000-00000D000000}"/>
    <cellStyle name="40% - Accent3" xfId="15" xr:uid="{00000000-0005-0000-0000-00000E000000}"/>
    <cellStyle name="40% - Accent4" xfId="16" xr:uid="{00000000-0005-0000-0000-00000F000000}"/>
    <cellStyle name="40% - Accent5" xfId="17" xr:uid="{00000000-0005-0000-0000-000010000000}"/>
    <cellStyle name="40% - Accent6" xfId="18" xr:uid="{00000000-0005-0000-0000-000011000000}"/>
    <cellStyle name="40% - Ênfase1 2" xfId="19" xr:uid="{00000000-0005-0000-0000-000012000000}"/>
    <cellStyle name="40% - Ênfase2 2" xfId="20" xr:uid="{00000000-0005-0000-0000-000013000000}"/>
    <cellStyle name="40% - Ênfase3 2" xfId="21" xr:uid="{00000000-0005-0000-0000-000014000000}"/>
    <cellStyle name="40% - Ênfase4 2" xfId="22" xr:uid="{00000000-0005-0000-0000-000015000000}"/>
    <cellStyle name="40% - Ênfase5 2" xfId="23" xr:uid="{00000000-0005-0000-0000-000016000000}"/>
    <cellStyle name="40% - Ênfase6 2" xfId="24" xr:uid="{00000000-0005-0000-0000-000017000000}"/>
    <cellStyle name="60% - Accent1" xfId="25" xr:uid="{00000000-0005-0000-0000-000018000000}"/>
    <cellStyle name="60% - Accent2" xfId="26" xr:uid="{00000000-0005-0000-0000-000019000000}"/>
    <cellStyle name="60% - Accent3" xfId="27" xr:uid="{00000000-0005-0000-0000-00001A000000}"/>
    <cellStyle name="60% - Accent4" xfId="28" xr:uid="{00000000-0005-0000-0000-00001B000000}"/>
    <cellStyle name="60% - Accent5" xfId="29" xr:uid="{00000000-0005-0000-0000-00001C000000}"/>
    <cellStyle name="60% - Accent6" xfId="30" xr:uid="{00000000-0005-0000-0000-00001D000000}"/>
    <cellStyle name="60% - Ênfase1 2" xfId="31" xr:uid="{00000000-0005-0000-0000-00001E000000}"/>
    <cellStyle name="60% - Ênfase2 2" xfId="32" xr:uid="{00000000-0005-0000-0000-00001F000000}"/>
    <cellStyle name="60% - Ênfase3 2" xfId="33" xr:uid="{00000000-0005-0000-0000-000020000000}"/>
    <cellStyle name="60% - Ênfase4 2" xfId="34" xr:uid="{00000000-0005-0000-0000-000021000000}"/>
    <cellStyle name="60% - Ênfase5 2" xfId="35" xr:uid="{00000000-0005-0000-0000-000022000000}"/>
    <cellStyle name="60% - Ênfase6 2" xfId="36" xr:uid="{00000000-0005-0000-0000-000023000000}"/>
    <cellStyle name="A3 297 x 420 mm" xfId="37" xr:uid="{00000000-0005-0000-0000-000024000000}"/>
    <cellStyle name="Accent1" xfId="38" xr:uid="{00000000-0005-0000-0000-000025000000}"/>
    <cellStyle name="Accent2" xfId="39" xr:uid="{00000000-0005-0000-0000-000026000000}"/>
    <cellStyle name="Accent3" xfId="40" xr:uid="{00000000-0005-0000-0000-000027000000}"/>
    <cellStyle name="Accent4" xfId="41" xr:uid="{00000000-0005-0000-0000-000028000000}"/>
    <cellStyle name="Accent5" xfId="42" xr:uid="{00000000-0005-0000-0000-000029000000}"/>
    <cellStyle name="Accent6" xfId="43" xr:uid="{00000000-0005-0000-0000-00002A000000}"/>
    <cellStyle name="Bad" xfId="44" xr:uid="{00000000-0005-0000-0000-00002B000000}"/>
    <cellStyle name="Bom 2" xfId="45" xr:uid="{00000000-0005-0000-0000-00002C000000}"/>
    <cellStyle name="Cabecera 1" xfId="46" xr:uid="{00000000-0005-0000-0000-00002D000000}"/>
    <cellStyle name="Cabecera 2" xfId="47" xr:uid="{00000000-0005-0000-0000-00002E000000}"/>
    <cellStyle name="Calculation" xfId="48" xr:uid="{00000000-0005-0000-0000-00002F000000}"/>
    <cellStyle name="Cálculo 2" xfId="49" xr:uid="{00000000-0005-0000-0000-000030000000}"/>
    <cellStyle name="Célula de Verificação 2" xfId="50" xr:uid="{00000000-0005-0000-0000-000031000000}"/>
    <cellStyle name="Célula Vinculada 2" xfId="51" xr:uid="{00000000-0005-0000-0000-000032000000}"/>
    <cellStyle name="Centrado" xfId="52" xr:uid="{00000000-0005-0000-0000-000033000000}"/>
    <cellStyle name="Check Cell" xfId="53" xr:uid="{00000000-0005-0000-0000-000034000000}"/>
    <cellStyle name="Comma [0]" xfId="54" xr:uid="{00000000-0005-0000-0000-000035000000}"/>
    <cellStyle name="Comma [0] 2" xfId="55" xr:uid="{00000000-0005-0000-0000-000036000000}"/>
    <cellStyle name="Comma_Fin.Inv." xfId="56" xr:uid="{00000000-0005-0000-0000-000037000000}"/>
    <cellStyle name="Currency [0]" xfId="57" xr:uid="{00000000-0005-0000-0000-000038000000}"/>
    <cellStyle name="Currency [0] 2" xfId="58" xr:uid="{00000000-0005-0000-0000-000039000000}"/>
    <cellStyle name="Currency_Fin.Inv." xfId="59" xr:uid="{00000000-0005-0000-0000-00003A000000}"/>
    <cellStyle name="Ênfase1 2" xfId="60" xr:uid="{00000000-0005-0000-0000-00003B000000}"/>
    <cellStyle name="Ênfase2 2" xfId="61" xr:uid="{00000000-0005-0000-0000-00003C000000}"/>
    <cellStyle name="Ênfase3 2" xfId="62" xr:uid="{00000000-0005-0000-0000-00003D000000}"/>
    <cellStyle name="Ênfase4 2" xfId="63" xr:uid="{00000000-0005-0000-0000-00003E000000}"/>
    <cellStyle name="Ênfase5 2" xfId="64" xr:uid="{00000000-0005-0000-0000-00003F000000}"/>
    <cellStyle name="Ênfase6 2" xfId="65" xr:uid="{00000000-0005-0000-0000-000040000000}"/>
    <cellStyle name="Entrada 2" xfId="66" xr:uid="{00000000-0005-0000-0000-000041000000}"/>
    <cellStyle name="Euro" xfId="67" xr:uid="{00000000-0005-0000-0000-000042000000}"/>
    <cellStyle name="Euro 2" xfId="68" xr:uid="{00000000-0005-0000-0000-000043000000}"/>
    <cellStyle name="Explanatory Text" xfId="69" xr:uid="{00000000-0005-0000-0000-000044000000}"/>
    <cellStyle name="Falces1" xfId="70" xr:uid="{00000000-0005-0000-0000-000045000000}"/>
    <cellStyle name="Fecha" xfId="71" xr:uid="{00000000-0005-0000-0000-000046000000}"/>
    <cellStyle name="Fijo" xfId="72" xr:uid="{00000000-0005-0000-0000-000047000000}"/>
    <cellStyle name="Good" xfId="73" xr:uid="{00000000-0005-0000-0000-000048000000}"/>
    <cellStyle name="Heading 1" xfId="74" xr:uid="{00000000-0005-0000-0000-000049000000}"/>
    <cellStyle name="Heading 2" xfId="75" xr:uid="{00000000-0005-0000-0000-00004A000000}"/>
    <cellStyle name="Heading 3" xfId="76" xr:uid="{00000000-0005-0000-0000-00004B000000}"/>
    <cellStyle name="Heading 4" xfId="77" xr:uid="{00000000-0005-0000-0000-00004C000000}"/>
    <cellStyle name="HEADING1" xfId="78" xr:uid="{00000000-0005-0000-0000-00004D000000}"/>
    <cellStyle name="HEADING2" xfId="79" xr:uid="{00000000-0005-0000-0000-00004E000000}"/>
    <cellStyle name="Input" xfId="80" xr:uid="{00000000-0005-0000-0000-00004F000000}"/>
    <cellStyle name="Linked Cell" xfId="81" xr:uid="{00000000-0005-0000-0000-000050000000}"/>
    <cellStyle name="Millares [0]_4°trim'96" xfId="82" xr:uid="{00000000-0005-0000-0000-000051000000}"/>
    <cellStyle name="Millares_3Q-8" xfId="83" xr:uid="{00000000-0005-0000-0000-000052000000}"/>
    <cellStyle name="Moeda" xfId="84" builtinId="4"/>
    <cellStyle name="Moeda 2" xfId="85" xr:uid="{00000000-0005-0000-0000-000054000000}"/>
    <cellStyle name="Moeda 2 2" xfId="86" xr:uid="{00000000-0005-0000-0000-000055000000}"/>
    <cellStyle name="Moeda 3" xfId="87" xr:uid="{00000000-0005-0000-0000-000056000000}"/>
    <cellStyle name="Moeda 4" xfId="133" xr:uid="{00000000-0005-0000-0000-000057000000}"/>
    <cellStyle name="Moeda 5" xfId="138" xr:uid="{00000000-0005-0000-0000-000058000000}"/>
    <cellStyle name="Moeda 6" xfId="144" xr:uid="{E9792046-F5B1-4706-9BC3-AF0DB2CD166C}"/>
    <cellStyle name="Moneda [0]_4°trim'96" xfId="88" xr:uid="{00000000-0005-0000-0000-000059000000}"/>
    <cellStyle name="Moneda_4°trim'96" xfId="89" xr:uid="{00000000-0005-0000-0000-00005A000000}"/>
    <cellStyle name="Monetario0" xfId="90" xr:uid="{00000000-0005-0000-0000-00005B000000}"/>
    <cellStyle name="Monetario0 2" xfId="91" xr:uid="{00000000-0005-0000-0000-00005C000000}"/>
    <cellStyle name="Neutral" xfId="92" xr:uid="{00000000-0005-0000-0000-00005D000000}"/>
    <cellStyle name="Normal" xfId="0" builtinId="0"/>
    <cellStyle name="Normal 10" xfId="146" xr:uid="{190858E3-6077-4C62-AC6A-0D357B805365}"/>
    <cellStyle name="Normal 2" xfId="93" xr:uid="{00000000-0005-0000-0000-00005F000000}"/>
    <cellStyle name="Normal 2 2" xfId="94" xr:uid="{00000000-0005-0000-0000-000060000000}"/>
    <cellStyle name="Normal 3" xfId="95" xr:uid="{00000000-0005-0000-0000-000061000000}"/>
    <cellStyle name="Normal 3 2" xfId="148" xr:uid="{5FD289E0-AAFD-4E1B-8D71-D829026995D1}"/>
    <cellStyle name="Normal 4" xfId="126" xr:uid="{00000000-0005-0000-0000-000062000000}"/>
    <cellStyle name="Normal 5" xfId="130" xr:uid="{00000000-0005-0000-0000-000063000000}"/>
    <cellStyle name="Normal 6" xfId="134" xr:uid="{00000000-0005-0000-0000-000064000000}"/>
    <cellStyle name="Normal 7" xfId="135" xr:uid="{00000000-0005-0000-0000-000065000000}"/>
    <cellStyle name="Normal 8" xfId="139" xr:uid="{0779ADDD-4FFA-41B6-B881-3B996D43F80E}"/>
    <cellStyle name="Normal 9" xfId="142" xr:uid="{5037EAFE-E64B-4181-87B7-A393D1FEBCE2}"/>
    <cellStyle name="Normal_A" xfId="96" xr:uid="{00000000-0005-0000-0000-000066000000}"/>
    <cellStyle name="Normal_ipca_201707SerieHist" xfId="97" xr:uid="{00000000-0005-0000-0000-000067000000}"/>
    <cellStyle name="Normal_ipca_201707SerieHist 2" xfId="98" xr:uid="{00000000-0005-0000-0000-000068000000}"/>
    <cellStyle name="Nota 2" xfId="99" xr:uid="{00000000-0005-0000-0000-00006A000000}"/>
    <cellStyle name="Note" xfId="100" xr:uid="{00000000-0005-0000-0000-00006B000000}"/>
    <cellStyle name="Output" xfId="101" xr:uid="{00000000-0005-0000-0000-00006C000000}"/>
    <cellStyle name="Porcentagem" xfId="102" builtinId="5"/>
    <cellStyle name="Porcentagem 2" xfId="103" xr:uid="{00000000-0005-0000-0000-00006E000000}"/>
    <cellStyle name="Porcentagem 3" xfId="128" xr:uid="{00000000-0005-0000-0000-00006F000000}"/>
    <cellStyle name="Porcentagem 3 2" xfId="129" xr:uid="{00000000-0005-0000-0000-000070000000}"/>
    <cellStyle name="Porcentagem 4" xfId="132" xr:uid="{00000000-0005-0000-0000-000071000000}"/>
    <cellStyle name="Porcentagem 5" xfId="137" xr:uid="{00000000-0005-0000-0000-000072000000}"/>
    <cellStyle name="Porcentagem 6" xfId="141" xr:uid="{5D598BE1-408B-445E-A00D-94C2C0B03A31}"/>
    <cellStyle name="Porcentual [0]" xfId="104" xr:uid="{00000000-0005-0000-0000-000073000000}"/>
    <cellStyle name="Porcentual_ADELBCO" xfId="105" xr:uid="{00000000-0005-0000-0000-000074000000}"/>
    <cellStyle name="Punto0" xfId="106" xr:uid="{00000000-0005-0000-0000-000075000000}"/>
    <cellStyle name="Ricardo" xfId="107" xr:uid="{00000000-0005-0000-0000-000076000000}"/>
    <cellStyle name="Saída 2" xfId="108" xr:uid="{00000000-0005-0000-0000-000077000000}"/>
    <cellStyle name="Separador de milhares [0] 2" xfId="109" xr:uid="{00000000-0005-0000-0000-000078000000}"/>
    <cellStyle name="Separador de milhares 2" xfId="110" xr:uid="{00000000-0005-0000-0000-000079000000}"/>
    <cellStyle name="Separador de milhares 2 2" xfId="111" xr:uid="{00000000-0005-0000-0000-00007A000000}"/>
    <cellStyle name="Texto de Aviso 2" xfId="112" xr:uid="{00000000-0005-0000-0000-00007B000000}"/>
    <cellStyle name="Texto Explicativo 2" xfId="113" xr:uid="{00000000-0005-0000-0000-00007C000000}"/>
    <cellStyle name="þ_x001d_ð'_x000c_ïþ÷_x000c_âþU_x0001_o_x0014_x_x001c__x0007__x0001__x0001_" xfId="114" xr:uid="{00000000-0005-0000-0000-00007D000000}"/>
    <cellStyle name="Title" xfId="115" xr:uid="{00000000-0005-0000-0000-00007E000000}"/>
    <cellStyle name="Título 1 2" xfId="116" xr:uid="{00000000-0005-0000-0000-00007F000000}"/>
    <cellStyle name="Título 2 2" xfId="117" xr:uid="{00000000-0005-0000-0000-000080000000}"/>
    <cellStyle name="Título 3 2" xfId="118" xr:uid="{00000000-0005-0000-0000-000081000000}"/>
    <cellStyle name="Título 4 2" xfId="119" xr:uid="{00000000-0005-0000-0000-000082000000}"/>
    <cellStyle name="Título 5" xfId="120" xr:uid="{00000000-0005-0000-0000-000083000000}"/>
    <cellStyle name="Total 2" xfId="121" xr:uid="{00000000-0005-0000-0000-000084000000}"/>
    <cellStyle name="Vírgula" xfId="122" builtinId="3"/>
    <cellStyle name="Vírgula 10" xfId="147" xr:uid="{1543209A-9646-4AFC-95BC-F656C8CC1795}"/>
    <cellStyle name="Vírgula 2" xfId="123" xr:uid="{00000000-0005-0000-0000-000086000000}"/>
    <cellStyle name="Vírgula 3" xfId="124" xr:uid="{00000000-0005-0000-0000-000087000000}"/>
    <cellStyle name="Vírgula 4" xfId="127" xr:uid="{00000000-0005-0000-0000-000088000000}"/>
    <cellStyle name="Vírgula 5" xfId="131" xr:uid="{00000000-0005-0000-0000-000089000000}"/>
    <cellStyle name="Vírgula 6" xfId="136" xr:uid="{00000000-0005-0000-0000-00008A000000}"/>
    <cellStyle name="Vírgula 7" xfId="140" xr:uid="{5DFB501F-C345-4E79-A1FD-7EDA11B6C5C2}"/>
    <cellStyle name="Vírgula 8" xfId="143" xr:uid="{3D8D20C0-1579-4737-90A8-6BCD520B2428}"/>
    <cellStyle name="Vírgula 9" xfId="145" xr:uid="{4B0F9512-6834-4E83-8861-2216F6E4E37F}"/>
    <cellStyle name="Warning Text" xfId="125" xr:uid="{00000000-0005-0000-0000-00008B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microsoft.com/office/2017/10/relationships/person" Target="persons/perso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190501</xdr:colOff>
      <xdr:row>9</xdr:row>
      <xdr:rowOff>19050</xdr:rowOff>
    </xdr:from>
    <xdr:to>
      <xdr:col>2</xdr:col>
      <xdr:colOff>1066801</xdr:colOff>
      <xdr:row>10</xdr:row>
      <xdr:rowOff>0</xdr:rowOff>
    </xdr:to>
    <xdr:sp macro="[0]!GerarTarifa" textlink="">
      <xdr:nvSpPr>
        <xdr:cNvPr id="2" name="Retâ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590676" y="1895475"/>
          <a:ext cx="876300" cy="209550"/>
        </a:xfrm>
        <a:prstGeom prst="rect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1"/>
            <a:t>Gerar</a:t>
          </a:r>
          <a:r>
            <a:rPr lang="pt-BR" sz="1100" b="1" baseline="0"/>
            <a:t> Tarifa</a:t>
          </a:r>
          <a:endParaRPr lang="pt-BR" sz="1100" b="1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527050</xdr:colOff>
      <xdr:row>37</xdr:row>
      <xdr:rowOff>12700</xdr:rowOff>
    </xdr:from>
    <xdr:ext cx="416781" cy="132665"/>
    <xdr:sp macro="" textlink="">
      <xdr:nvSpPr>
        <xdr:cNvPr id="4122" name="Rectangle 26">
          <a:extLst>
            <a:ext uri="{FF2B5EF4-FFF2-40B4-BE49-F238E27FC236}">
              <a16:creationId xmlns:a16="http://schemas.microsoft.com/office/drawing/2014/main" id="{00000000-0008-0000-0400-00001A100000}"/>
            </a:ext>
          </a:extLst>
        </xdr:cNvPr>
        <xdr:cNvSpPr>
          <a:spLocks noChangeArrowheads="1"/>
        </xdr:cNvSpPr>
      </xdr:nvSpPr>
      <xdr:spPr bwMode="auto">
        <a:xfrm>
          <a:off x="7127875" y="7080250"/>
          <a:ext cx="416781" cy="132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0" tIns="0" rIns="0" bIns="0" anchor="t" upright="1">
          <a:spAutoFit/>
        </a:bodyPr>
        <a:lstStyle/>
        <a:p>
          <a:pPr algn="l" rtl="0">
            <a:defRPr sz="1000"/>
          </a:pPr>
          <a:r>
            <a:rPr lang="pt-BR" sz="900" b="0" i="0" strike="noStrike">
              <a:solidFill>
                <a:srgbClr val="000000"/>
              </a:solidFill>
              <a:latin typeface="Arial"/>
              <a:cs typeface="Arial"/>
            </a:rPr>
            <a:t>             </a:t>
          </a:r>
        </a:p>
      </xdr:txBody>
    </xdr:sp>
    <xdr:clientData/>
  </xdr:oneCellAnchor>
  <xdr:oneCellAnchor>
    <xdr:from>
      <xdr:col>10</xdr:col>
      <xdr:colOff>339725</xdr:colOff>
      <xdr:row>37</xdr:row>
      <xdr:rowOff>12700</xdr:rowOff>
    </xdr:from>
    <xdr:ext cx="32060" cy="132665"/>
    <xdr:sp macro="" textlink="">
      <xdr:nvSpPr>
        <xdr:cNvPr id="4123" name="Rectangle 27">
          <a:extLst>
            <a:ext uri="{FF2B5EF4-FFF2-40B4-BE49-F238E27FC236}">
              <a16:creationId xmlns:a16="http://schemas.microsoft.com/office/drawing/2014/main" id="{00000000-0008-0000-0400-00001B100000}"/>
            </a:ext>
          </a:extLst>
        </xdr:cNvPr>
        <xdr:cNvSpPr>
          <a:spLocks noChangeArrowheads="1"/>
        </xdr:cNvSpPr>
      </xdr:nvSpPr>
      <xdr:spPr bwMode="auto">
        <a:xfrm>
          <a:off x="7512050" y="7080250"/>
          <a:ext cx="32060" cy="132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0" tIns="0" rIns="0" bIns="0" anchor="t" upright="1">
          <a:spAutoFit/>
        </a:bodyPr>
        <a:lstStyle/>
        <a:p>
          <a:pPr algn="l" rtl="0">
            <a:defRPr sz="1000"/>
          </a:pPr>
          <a:r>
            <a:rPr lang="pt-BR" sz="9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xdr:txBody>
    </xdr:sp>
    <xdr:clientData/>
  </xdr:oneCellAnchor>
  <xdr:oneCellAnchor>
    <xdr:from>
      <xdr:col>11</xdr:col>
      <xdr:colOff>38100</xdr:colOff>
      <xdr:row>37</xdr:row>
      <xdr:rowOff>12700</xdr:rowOff>
    </xdr:from>
    <xdr:ext cx="416781" cy="132665"/>
    <xdr:sp macro="" textlink="">
      <xdr:nvSpPr>
        <xdr:cNvPr id="4125" name="Rectangle 29">
          <a:extLst>
            <a:ext uri="{FF2B5EF4-FFF2-40B4-BE49-F238E27FC236}">
              <a16:creationId xmlns:a16="http://schemas.microsoft.com/office/drawing/2014/main" id="{00000000-0008-0000-0400-00001D100000}"/>
            </a:ext>
          </a:extLst>
        </xdr:cNvPr>
        <xdr:cNvSpPr>
          <a:spLocks noChangeArrowheads="1"/>
        </xdr:cNvSpPr>
      </xdr:nvSpPr>
      <xdr:spPr bwMode="auto">
        <a:xfrm>
          <a:off x="7781925" y="7080250"/>
          <a:ext cx="416781" cy="132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0" tIns="0" rIns="0" bIns="0" anchor="t" upright="1">
          <a:spAutoFit/>
        </a:bodyPr>
        <a:lstStyle/>
        <a:p>
          <a:pPr algn="l" rtl="0">
            <a:defRPr sz="1000"/>
          </a:pPr>
          <a:r>
            <a:rPr lang="pt-BR" sz="900" b="0" i="0" strike="noStrike">
              <a:solidFill>
                <a:srgbClr val="000000"/>
              </a:solidFill>
              <a:latin typeface="Arial"/>
              <a:cs typeface="Arial"/>
            </a:rPr>
            <a:t>             </a:t>
          </a:r>
        </a:p>
      </xdr:txBody>
    </xdr:sp>
    <xdr:clientData/>
  </xdr:oneCellAnchor>
  <xdr:oneCellAnchor>
    <xdr:from>
      <xdr:col>11</xdr:col>
      <xdr:colOff>467995</xdr:colOff>
      <xdr:row>37</xdr:row>
      <xdr:rowOff>12700</xdr:rowOff>
    </xdr:from>
    <xdr:ext cx="32060" cy="132665"/>
    <xdr:sp macro="" textlink="">
      <xdr:nvSpPr>
        <xdr:cNvPr id="4126" name="Rectangle 30">
          <a:extLst>
            <a:ext uri="{FF2B5EF4-FFF2-40B4-BE49-F238E27FC236}">
              <a16:creationId xmlns:a16="http://schemas.microsoft.com/office/drawing/2014/main" id="{00000000-0008-0000-0400-00001E100000}"/>
            </a:ext>
          </a:extLst>
        </xdr:cNvPr>
        <xdr:cNvSpPr>
          <a:spLocks noChangeArrowheads="1"/>
        </xdr:cNvSpPr>
      </xdr:nvSpPr>
      <xdr:spPr bwMode="auto">
        <a:xfrm>
          <a:off x="8211820" y="7080250"/>
          <a:ext cx="32060" cy="132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0" tIns="0" rIns="0" bIns="0" anchor="t" upright="1">
          <a:spAutoFit/>
        </a:bodyPr>
        <a:lstStyle/>
        <a:p>
          <a:pPr algn="l" rtl="0">
            <a:defRPr sz="1000"/>
          </a:pPr>
          <a:r>
            <a:rPr lang="pt-BR" sz="9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xdr:txBody>
    </xdr:sp>
    <xdr:clientData/>
  </xdr:oneCellAnchor>
  <xdr:oneCellAnchor>
    <xdr:from>
      <xdr:col>12</xdr:col>
      <xdr:colOff>149225</xdr:colOff>
      <xdr:row>37</xdr:row>
      <xdr:rowOff>12700</xdr:rowOff>
    </xdr:from>
    <xdr:ext cx="416781" cy="132665"/>
    <xdr:sp macro="" textlink="">
      <xdr:nvSpPr>
        <xdr:cNvPr id="4128" name="Rectangle 32">
          <a:extLst>
            <a:ext uri="{FF2B5EF4-FFF2-40B4-BE49-F238E27FC236}">
              <a16:creationId xmlns:a16="http://schemas.microsoft.com/office/drawing/2014/main" id="{00000000-0008-0000-0400-000020100000}"/>
            </a:ext>
          </a:extLst>
        </xdr:cNvPr>
        <xdr:cNvSpPr>
          <a:spLocks noChangeArrowheads="1"/>
        </xdr:cNvSpPr>
      </xdr:nvSpPr>
      <xdr:spPr bwMode="auto">
        <a:xfrm>
          <a:off x="8464550" y="7080250"/>
          <a:ext cx="416781" cy="132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0" tIns="0" rIns="0" bIns="0" anchor="t" upright="1">
          <a:spAutoFit/>
        </a:bodyPr>
        <a:lstStyle/>
        <a:p>
          <a:pPr algn="l" rtl="0">
            <a:defRPr sz="1000"/>
          </a:pPr>
          <a:r>
            <a:rPr lang="pt-BR" sz="900" b="0" i="0" strike="noStrike">
              <a:solidFill>
                <a:srgbClr val="000000"/>
              </a:solidFill>
              <a:latin typeface="Arial"/>
              <a:cs typeface="Arial"/>
            </a:rPr>
            <a:t>             </a:t>
          </a:r>
        </a:p>
      </xdr:txBody>
    </xdr:sp>
    <xdr:clientData/>
  </xdr:oneCellAnchor>
  <xdr:oneCellAnchor>
    <xdr:from>
      <xdr:col>12</xdr:col>
      <xdr:colOff>563245</xdr:colOff>
      <xdr:row>37</xdr:row>
      <xdr:rowOff>12700</xdr:rowOff>
    </xdr:from>
    <xdr:ext cx="32060" cy="132665"/>
    <xdr:sp macro="" textlink="">
      <xdr:nvSpPr>
        <xdr:cNvPr id="4129" name="Rectangle 33">
          <a:extLst>
            <a:ext uri="{FF2B5EF4-FFF2-40B4-BE49-F238E27FC236}">
              <a16:creationId xmlns:a16="http://schemas.microsoft.com/office/drawing/2014/main" id="{00000000-0008-0000-0400-000021100000}"/>
            </a:ext>
          </a:extLst>
        </xdr:cNvPr>
        <xdr:cNvSpPr>
          <a:spLocks noChangeArrowheads="1"/>
        </xdr:cNvSpPr>
      </xdr:nvSpPr>
      <xdr:spPr bwMode="auto">
        <a:xfrm>
          <a:off x="8878570" y="7080250"/>
          <a:ext cx="32060" cy="132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0" tIns="0" rIns="0" bIns="0" anchor="t" upright="1">
          <a:spAutoFit/>
        </a:bodyPr>
        <a:lstStyle/>
        <a:p>
          <a:pPr algn="l" rtl="0">
            <a:defRPr sz="1000"/>
          </a:pPr>
          <a:r>
            <a:rPr lang="pt-BR" sz="9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xdr:txBody>
    </xdr:sp>
    <xdr:clientData/>
  </xdr:oneCellAnchor>
  <xdr:oneCellAnchor>
    <xdr:from>
      <xdr:col>9</xdr:col>
      <xdr:colOff>527050</xdr:colOff>
      <xdr:row>38</xdr:row>
      <xdr:rowOff>47625</xdr:rowOff>
    </xdr:from>
    <xdr:ext cx="416781" cy="132665"/>
    <xdr:sp macro="" textlink="">
      <xdr:nvSpPr>
        <xdr:cNvPr id="4132" name="Rectangle 36">
          <a:extLst>
            <a:ext uri="{FF2B5EF4-FFF2-40B4-BE49-F238E27FC236}">
              <a16:creationId xmlns:a16="http://schemas.microsoft.com/office/drawing/2014/main" id="{00000000-0008-0000-0400-000024100000}"/>
            </a:ext>
          </a:extLst>
        </xdr:cNvPr>
        <xdr:cNvSpPr>
          <a:spLocks noChangeArrowheads="1"/>
        </xdr:cNvSpPr>
      </xdr:nvSpPr>
      <xdr:spPr bwMode="auto">
        <a:xfrm>
          <a:off x="7127875" y="7277100"/>
          <a:ext cx="416781" cy="132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0" tIns="0" rIns="0" bIns="0" anchor="t" upright="1">
          <a:spAutoFit/>
        </a:bodyPr>
        <a:lstStyle/>
        <a:p>
          <a:pPr algn="l" rtl="0">
            <a:defRPr sz="1000"/>
          </a:pPr>
          <a:r>
            <a:rPr lang="pt-BR" sz="900" b="0" i="0" strike="noStrike">
              <a:solidFill>
                <a:srgbClr val="000000"/>
              </a:solidFill>
              <a:latin typeface="Arial"/>
              <a:cs typeface="Arial"/>
            </a:rPr>
            <a:t>             </a:t>
          </a:r>
        </a:p>
      </xdr:txBody>
    </xdr:sp>
    <xdr:clientData/>
  </xdr:oneCellAnchor>
  <xdr:oneCellAnchor>
    <xdr:from>
      <xdr:col>10</xdr:col>
      <xdr:colOff>339725</xdr:colOff>
      <xdr:row>38</xdr:row>
      <xdr:rowOff>47625</xdr:rowOff>
    </xdr:from>
    <xdr:ext cx="32060" cy="132665"/>
    <xdr:sp macro="" textlink="">
      <xdr:nvSpPr>
        <xdr:cNvPr id="4133" name="Rectangle 37">
          <a:extLst>
            <a:ext uri="{FF2B5EF4-FFF2-40B4-BE49-F238E27FC236}">
              <a16:creationId xmlns:a16="http://schemas.microsoft.com/office/drawing/2014/main" id="{00000000-0008-0000-0400-000025100000}"/>
            </a:ext>
          </a:extLst>
        </xdr:cNvPr>
        <xdr:cNvSpPr>
          <a:spLocks noChangeArrowheads="1"/>
        </xdr:cNvSpPr>
      </xdr:nvSpPr>
      <xdr:spPr bwMode="auto">
        <a:xfrm>
          <a:off x="7512050" y="7277100"/>
          <a:ext cx="32060" cy="132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0" tIns="0" rIns="0" bIns="0" anchor="t" upright="1">
          <a:spAutoFit/>
        </a:bodyPr>
        <a:lstStyle/>
        <a:p>
          <a:pPr algn="l" rtl="0">
            <a:defRPr sz="1000"/>
          </a:pPr>
          <a:r>
            <a:rPr lang="pt-BR" sz="9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xdr:txBody>
    </xdr:sp>
    <xdr:clientData/>
  </xdr:oneCellAnchor>
  <xdr:oneCellAnchor>
    <xdr:from>
      <xdr:col>11</xdr:col>
      <xdr:colOff>38100</xdr:colOff>
      <xdr:row>38</xdr:row>
      <xdr:rowOff>47625</xdr:rowOff>
    </xdr:from>
    <xdr:ext cx="416781" cy="132665"/>
    <xdr:sp macro="" textlink="">
      <xdr:nvSpPr>
        <xdr:cNvPr id="4135" name="Rectangle 39">
          <a:extLst>
            <a:ext uri="{FF2B5EF4-FFF2-40B4-BE49-F238E27FC236}">
              <a16:creationId xmlns:a16="http://schemas.microsoft.com/office/drawing/2014/main" id="{00000000-0008-0000-0400-000027100000}"/>
            </a:ext>
          </a:extLst>
        </xdr:cNvPr>
        <xdr:cNvSpPr>
          <a:spLocks noChangeArrowheads="1"/>
        </xdr:cNvSpPr>
      </xdr:nvSpPr>
      <xdr:spPr bwMode="auto">
        <a:xfrm>
          <a:off x="7781925" y="7277100"/>
          <a:ext cx="416781" cy="132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0" tIns="0" rIns="0" bIns="0" anchor="t" upright="1">
          <a:spAutoFit/>
        </a:bodyPr>
        <a:lstStyle/>
        <a:p>
          <a:pPr algn="l" rtl="0">
            <a:defRPr sz="1000"/>
          </a:pPr>
          <a:r>
            <a:rPr lang="pt-BR" sz="900" b="0" i="0" strike="noStrike">
              <a:solidFill>
                <a:srgbClr val="000000"/>
              </a:solidFill>
              <a:latin typeface="Arial"/>
              <a:cs typeface="Arial"/>
            </a:rPr>
            <a:t>             </a:t>
          </a:r>
        </a:p>
      </xdr:txBody>
    </xdr:sp>
    <xdr:clientData/>
  </xdr:oneCellAnchor>
  <xdr:oneCellAnchor>
    <xdr:from>
      <xdr:col>11</xdr:col>
      <xdr:colOff>467995</xdr:colOff>
      <xdr:row>38</xdr:row>
      <xdr:rowOff>47625</xdr:rowOff>
    </xdr:from>
    <xdr:ext cx="32060" cy="132665"/>
    <xdr:sp macro="" textlink="">
      <xdr:nvSpPr>
        <xdr:cNvPr id="4136" name="Rectangle 40">
          <a:extLst>
            <a:ext uri="{FF2B5EF4-FFF2-40B4-BE49-F238E27FC236}">
              <a16:creationId xmlns:a16="http://schemas.microsoft.com/office/drawing/2014/main" id="{00000000-0008-0000-0400-000028100000}"/>
            </a:ext>
          </a:extLst>
        </xdr:cNvPr>
        <xdr:cNvSpPr>
          <a:spLocks noChangeArrowheads="1"/>
        </xdr:cNvSpPr>
      </xdr:nvSpPr>
      <xdr:spPr bwMode="auto">
        <a:xfrm>
          <a:off x="8211820" y="7277100"/>
          <a:ext cx="32060" cy="132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0" tIns="0" rIns="0" bIns="0" anchor="t" upright="1">
          <a:spAutoFit/>
        </a:bodyPr>
        <a:lstStyle/>
        <a:p>
          <a:pPr algn="l" rtl="0">
            <a:defRPr sz="1000"/>
          </a:pPr>
          <a:r>
            <a:rPr lang="pt-BR" sz="9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xdr:txBody>
    </xdr:sp>
    <xdr:clientData/>
  </xdr:oneCellAnchor>
  <xdr:oneCellAnchor>
    <xdr:from>
      <xdr:col>12</xdr:col>
      <xdr:colOff>149225</xdr:colOff>
      <xdr:row>38</xdr:row>
      <xdr:rowOff>47625</xdr:rowOff>
    </xdr:from>
    <xdr:ext cx="416781" cy="132665"/>
    <xdr:sp macro="" textlink="">
      <xdr:nvSpPr>
        <xdr:cNvPr id="4138" name="Rectangle 42">
          <a:extLst>
            <a:ext uri="{FF2B5EF4-FFF2-40B4-BE49-F238E27FC236}">
              <a16:creationId xmlns:a16="http://schemas.microsoft.com/office/drawing/2014/main" id="{00000000-0008-0000-0400-00002A100000}"/>
            </a:ext>
          </a:extLst>
        </xdr:cNvPr>
        <xdr:cNvSpPr>
          <a:spLocks noChangeArrowheads="1"/>
        </xdr:cNvSpPr>
      </xdr:nvSpPr>
      <xdr:spPr bwMode="auto">
        <a:xfrm>
          <a:off x="8464550" y="7277100"/>
          <a:ext cx="416781" cy="132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0" tIns="0" rIns="0" bIns="0" anchor="t" upright="1">
          <a:spAutoFit/>
        </a:bodyPr>
        <a:lstStyle/>
        <a:p>
          <a:pPr algn="l" rtl="0">
            <a:defRPr sz="1000"/>
          </a:pPr>
          <a:r>
            <a:rPr lang="pt-BR" sz="900" b="0" i="0" strike="noStrike">
              <a:solidFill>
                <a:srgbClr val="000000"/>
              </a:solidFill>
              <a:latin typeface="Arial"/>
              <a:cs typeface="Arial"/>
            </a:rPr>
            <a:t>             </a:t>
          </a:r>
        </a:p>
      </xdr:txBody>
    </xdr:sp>
    <xdr:clientData/>
  </xdr:oneCellAnchor>
  <xdr:oneCellAnchor>
    <xdr:from>
      <xdr:col>12</xdr:col>
      <xdr:colOff>563245</xdr:colOff>
      <xdr:row>38</xdr:row>
      <xdr:rowOff>47625</xdr:rowOff>
    </xdr:from>
    <xdr:ext cx="32060" cy="132665"/>
    <xdr:sp macro="" textlink="">
      <xdr:nvSpPr>
        <xdr:cNvPr id="4139" name="Rectangle 43">
          <a:extLst>
            <a:ext uri="{FF2B5EF4-FFF2-40B4-BE49-F238E27FC236}">
              <a16:creationId xmlns:a16="http://schemas.microsoft.com/office/drawing/2014/main" id="{00000000-0008-0000-0400-00002B100000}"/>
            </a:ext>
          </a:extLst>
        </xdr:cNvPr>
        <xdr:cNvSpPr>
          <a:spLocks noChangeArrowheads="1"/>
        </xdr:cNvSpPr>
      </xdr:nvSpPr>
      <xdr:spPr bwMode="auto">
        <a:xfrm>
          <a:off x="8878570" y="7277100"/>
          <a:ext cx="32060" cy="132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0" tIns="0" rIns="0" bIns="0" anchor="t" upright="1">
          <a:spAutoFit/>
        </a:bodyPr>
        <a:lstStyle/>
        <a:p>
          <a:pPr algn="l" rtl="0">
            <a:defRPr sz="1000"/>
          </a:pPr>
          <a:r>
            <a:rPr lang="pt-BR" sz="9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13</xdr:col>
      <xdr:colOff>140494</xdr:colOff>
      <xdr:row>17</xdr:row>
      <xdr:rowOff>123825</xdr:rowOff>
    </xdr:to>
    <xdr:pic>
      <xdr:nvPicPr>
        <xdr:cNvPr id="37909" name="Imagem 1">
          <a:extLst>
            <a:ext uri="{FF2B5EF4-FFF2-40B4-BE49-F238E27FC236}">
              <a16:creationId xmlns:a16="http://schemas.microsoft.com/office/drawing/2014/main" id="{00000000-0008-0000-1400-0000159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877425" cy="2876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95250</xdr:colOff>
      <xdr:row>20</xdr:row>
      <xdr:rowOff>11906</xdr:rowOff>
    </xdr:from>
    <xdr:to>
      <xdr:col>19</xdr:col>
      <xdr:colOff>369094</xdr:colOff>
      <xdr:row>23</xdr:row>
      <xdr:rowOff>11906</xdr:rowOff>
    </xdr:to>
    <xdr:pic>
      <xdr:nvPicPr>
        <xdr:cNvPr id="3" name="Imagem 9" descr="image009">
          <a:extLst>
            <a:ext uri="{FF2B5EF4-FFF2-40B4-BE49-F238E27FC236}">
              <a16:creationId xmlns:a16="http://schemas.microsoft.com/office/drawing/2014/main" id="{00000000-0008-0000-1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62563" y="3345656"/>
          <a:ext cx="8060531" cy="5000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9.bin"/><Relationship Id="rId4" Type="http://schemas.openxmlformats.org/officeDocument/2006/relationships/comments" Target="../comments3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E37F28-E1F4-4082-B038-16E7BF105A6B}">
  <sheetPr codeName="Planilha1">
    <pageSetUpPr fitToPage="1"/>
  </sheetPr>
  <dimension ref="A1:J42"/>
  <sheetViews>
    <sheetView showGridLines="0" zoomScaleNormal="100" workbookViewId="0">
      <selection activeCell="J9" sqref="J9"/>
    </sheetView>
  </sheetViews>
  <sheetFormatPr defaultColWidth="9.140625" defaultRowHeight="15"/>
  <cols>
    <col min="1" max="1" width="2" style="668" customWidth="1"/>
    <col min="2" max="2" width="50.42578125" style="668" bestFit="1" customWidth="1"/>
    <col min="3" max="3" width="11.42578125" style="668" customWidth="1"/>
    <col min="4" max="4" width="12.7109375" style="669" customWidth="1"/>
    <col min="5" max="5" width="12.28515625" style="669" customWidth="1"/>
    <col min="6" max="6" width="2.5703125" style="668" customWidth="1"/>
    <col min="7" max="7" width="58.85546875" style="668" hidden="1" customWidth="1"/>
    <col min="8" max="8" width="1.42578125" style="668" customWidth="1"/>
    <col min="9" max="9" width="9.140625" style="668"/>
    <col min="10" max="10" width="11.42578125" style="668" customWidth="1"/>
    <col min="11" max="11" width="18.85546875" style="668" bestFit="1" customWidth="1"/>
    <col min="12" max="16384" width="9.140625" style="668"/>
  </cols>
  <sheetData>
    <row r="1" spans="1:10" ht="23.25" customHeight="1">
      <c r="B1" s="793" t="s">
        <v>637</v>
      </c>
      <c r="H1" s="670"/>
    </row>
    <row r="2" spans="1:10" ht="15.75" customHeight="1">
      <c r="B2" s="683" t="s">
        <v>687</v>
      </c>
      <c r="C2" s="684"/>
      <c r="D2" s="684"/>
      <c r="E2" s="684"/>
      <c r="H2" s="670"/>
    </row>
    <row r="3" spans="1:10">
      <c r="B3" s="668" t="s">
        <v>638</v>
      </c>
      <c r="H3" s="670"/>
    </row>
    <row r="4" spans="1:10" ht="7.5" customHeight="1">
      <c r="H4" s="670"/>
    </row>
    <row r="5" spans="1:10" ht="9" customHeight="1" thickBot="1">
      <c r="H5" s="670"/>
    </row>
    <row r="6" spans="1:10">
      <c r="B6" s="765" t="s">
        <v>639</v>
      </c>
      <c r="C6" s="766" t="s">
        <v>684</v>
      </c>
      <c r="D6" s="767"/>
      <c r="E6" s="767"/>
      <c r="H6" s="670"/>
    </row>
    <row r="7" spans="1:10" ht="15.75" thickBot="1">
      <c r="B7" s="768" t="s">
        <v>686</v>
      </c>
      <c r="C7" s="783">
        <v>4.9404507850518078</v>
      </c>
      <c r="D7" s="769" t="s">
        <v>401</v>
      </c>
      <c r="E7" s="769" t="s">
        <v>640</v>
      </c>
      <c r="H7" s="670"/>
      <c r="I7" s="772"/>
    </row>
    <row r="8" spans="1:10">
      <c r="B8" s="685" t="s">
        <v>688</v>
      </c>
      <c r="C8" s="790">
        <f t="shared" ref="C8" si="0">C7+E8</f>
        <v>4.8105661769965895</v>
      </c>
      <c r="D8" s="794">
        <v>3874.8484372452649</v>
      </c>
      <c r="E8" s="784">
        <v>-0.12988460805521829</v>
      </c>
      <c r="H8" s="670"/>
      <c r="I8" s="772"/>
    </row>
    <row r="9" spans="1:10" ht="15" customHeight="1" thickBot="1">
      <c r="B9" s="782" t="s">
        <v>672</v>
      </c>
      <c r="C9" s="791">
        <f>C8+E9</f>
        <v>4.756596639434588</v>
      </c>
      <c r="D9" s="795">
        <v>1404.6352611695572</v>
      </c>
      <c r="E9" s="785">
        <v>-5.3969537562001513E-2</v>
      </c>
      <c r="H9" s="670"/>
      <c r="I9" s="772"/>
    </row>
    <row r="10" spans="1:10" ht="15.75" thickBot="1">
      <c r="B10" s="770" t="s">
        <v>685</v>
      </c>
      <c r="C10" s="792">
        <f>C9</f>
        <v>4.756596639434588</v>
      </c>
      <c r="D10" s="771">
        <f>SUM(D8:D9)</f>
        <v>5279.4836984148224</v>
      </c>
      <c r="E10" s="796">
        <f>SUM(E8:E9)</f>
        <v>-0.1838541456172198</v>
      </c>
      <c r="H10" s="670"/>
    </row>
    <row r="11" spans="1:10">
      <c r="B11" s="682"/>
      <c r="H11" s="670"/>
    </row>
    <row r="12" spans="1:10">
      <c r="D12" s="668"/>
      <c r="E12" s="668"/>
      <c r="H12" s="670"/>
    </row>
    <row r="13" spans="1:10">
      <c r="H13" s="670"/>
      <c r="J13" s="702"/>
    </row>
    <row r="14" spans="1:10" ht="9" customHeight="1">
      <c r="A14" s="670"/>
      <c r="B14" s="670"/>
      <c r="C14" s="670"/>
      <c r="D14" s="671"/>
      <c r="E14" s="671"/>
      <c r="F14" s="670"/>
      <c r="G14" s="670"/>
      <c r="H14" s="670"/>
    </row>
    <row r="16" spans="1:10">
      <c r="B16" s="772"/>
    </row>
    <row r="20" s="668" customFormat="1"/>
    <row r="21" s="668" customFormat="1"/>
    <row r="22" s="668" customFormat="1"/>
    <row r="23" s="668" customFormat="1"/>
    <row r="24" s="668" customFormat="1"/>
    <row r="25" s="668" customFormat="1"/>
    <row r="26" s="668" customFormat="1"/>
    <row r="27" s="668" customFormat="1"/>
    <row r="28" s="668" customFormat="1"/>
    <row r="29" s="668" customFormat="1"/>
    <row r="30" s="668" customFormat="1"/>
    <row r="31" s="668" customFormat="1"/>
    <row r="32" s="668" customFormat="1"/>
    <row r="33" s="668" customFormat="1"/>
    <row r="34" s="668" customFormat="1"/>
    <row r="35" s="668" customFormat="1"/>
    <row r="36" s="668" customFormat="1"/>
    <row r="37" s="668" customFormat="1"/>
    <row r="38" s="668" customFormat="1"/>
    <row r="39" s="668" customFormat="1"/>
    <row r="40" s="668" customFormat="1"/>
    <row r="41" s="668" customFormat="1"/>
    <row r="42" s="668" customFormat="1"/>
  </sheetData>
  <printOptions horizontalCentered="1"/>
  <pageMargins left="0.25" right="0.25" top="0.75" bottom="0.75" header="0.3" footer="0.3"/>
  <pageSetup paperSize="9" scale="83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Planilha10"/>
  <dimension ref="B1:AP13"/>
  <sheetViews>
    <sheetView showGridLines="0" topLeftCell="B2" zoomScaleNormal="100" workbookViewId="0">
      <pane xSplit="2" ySplit="3" topLeftCell="D5" activePane="bottomRight" state="frozen"/>
      <selection activeCell="F15" sqref="F15"/>
      <selection pane="topRight" activeCell="F15" sqref="F15"/>
      <selection pane="bottomLeft" activeCell="F15" sqref="F15"/>
      <selection pane="bottomRight" activeCell="D5" sqref="D5"/>
    </sheetView>
  </sheetViews>
  <sheetFormatPr defaultRowHeight="12.75"/>
  <cols>
    <col min="1" max="1" width="3.7109375" customWidth="1"/>
    <col min="2" max="2" width="48" customWidth="1"/>
    <col min="3" max="3" width="9.7109375" customWidth="1"/>
    <col min="4" max="38" width="8.7109375" customWidth="1"/>
  </cols>
  <sheetData>
    <row r="1" spans="2:42" ht="30.2" customHeight="1">
      <c r="B1" s="19" t="str">
        <f>QDA!B1:O1</f>
        <v>CONCESSIONÁRIA ROTA DO ATLÂNTICO</v>
      </c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7"/>
      <c r="AI1" s="7"/>
      <c r="AJ1" s="7"/>
      <c r="AK1" s="7"/>
      <c r="AL1" s="7"/>
      <c r="AM1" s="7"/>
      <c r="AN1" s="7"/>
      <c r="AO1" s="7"/>
      <c r="AP1" s="7"/>
    </row>
    <row r="2" spans="2:42" ht="15">
      <c r="B2" s="5" t="s">
        <v>219</v>
      </c>
      <c r="C2" s="20"/>
      <c r="D2" s="148" t="s">
        <v>43</v>
      </c>
      <c r="F2" s="148"/>
      <c r="G2" s="20" t="s">
        <v>230</v>
      </c>
      <c r="AG2" s="20"/>
      <c r="AL2" s="20"/>
    </row>
    <row r="3" spans="2:42" ht="30.2" customHeight="1">
      <c r="B3" s="26" t="s">
        <v>78</v>
      </c>
      <c r="C3" s="26" t="s">
        <v>4</v>
      </c>
      <c r="D3" s="26">
        <v>1</v>
      </c>
      <c r="E3" s="26">
        <v>2</v>
      </c>
      <c r="F3" s="26">
        <v>3</v>
      </c>
      <c r="G3" s="26">
        <v>4</v>
      </c>
      <c r="H3" s="26">
        <v>5</v>
      </c>
      <c r="I3" s="26">
        <v>6</v>
      </c>
      <c r="J3" s="26">
        <v>7</v>
      </c>
      <c r="K3" s="26">
        <v>8</v>
      </c>
      <c r="L3" s="26">
        <v>9</v>
      </c>
      <c r="M3" s="26">
        <v>10</v>
      </c>
      <c r="N3" s="26">
        <v>11</v>
      </c>
      <c r="O3" s="26">
        <v>12</v>
      </c>
      <c r="P3" s="26">
        <v>13</v>
      </c>
      <c r="Q3" s="26">
        <v>14</v>
      </c>
      <c r="R3" s="26">
        <v>15</v>
      </c>
      <c r="S3" s="26">
        <v>16</v>
      </c>
      <c r="T3" s="26">
        <v>17</v>
      </c>
      <c r="U3" s="26">
        <v>18</v>
      </c>
      <c r="V3" s="26">
        <v>19</v>
      </c>
      <c r="W3" s="26">
        <v>20</v>
      </c>
      <c r="X3" s="26">
        <v>21</v>
      </c>
      <c r="Y3" s="26">
        <v>22</v>
      </c>
      <c r="Z3" s="26">
        <v>23</v>
      </c>
      <c r="AA3" s="26">
        <v>24</v>
      </c>
      <c r="AB3" s="26">
        <v>25</v>
      </c>
      <c r="AC3" s="26">
        <v>26</v>
      </c>
      <c r="AD3" s="26">
        <v>27</v>
      </c>
      <c r="AE3" s="26">
        <v>28</v>
      </c>
      <c r="AF3" s="26">
        <v>29</v>
      </c>
      <c r="AG3" s="26">
        <v>30</v>
      </c>
      <c r="AH3" s="26">
        <v>31</v>
      </c>
      <c r="AI3" s="26">
        <v>32</v>
      </c>
      <c r="AJ3" s="26">
        <v>33</v>
      </c>
      <c r="AK3" s="26">
        <v>34</v>
      </c>
      <c r="AL3" s="26">
        <v>35</v>
      </c>
    </row>
    <row r="4" spans="2:42" ht="24.95" customHeight="1">
      <c r="B4" s="43" t="s">
        <v>26</v>
      </c>
      <c r="C4" s="36">
        <f t="shared" ref="C4:C9" si="0">SUM(D4:AL4)</f>
        <v>340254.76514051511</v>
      </c>
      <c r="D4" s="36">
        <f>SUM(D5:D7)</f>
        <v>0</v>
      </c>
      <c r="E4" s="36">
        <f t="shared" ref="E4:AG4" si="1">SUM(E5:E7)</f>
        <v>0</v>
      </c>
      <c r="F4" s="36">
        <f t="shared" si="1"/>
        <v>3613.3677381696189</v>
      </c>
      <c r="G4" s="36">
        <f t="shared" si="1"/>
        <v>4691.9493131757154</v>
      </c>
      <c r="H4" s="36">
        <f t="shared" si="1"/>
        <v>5284.7441780693434</v>
      </c>
      <c r="I4" s="36">
        <f t="shared" si="1"/>
        <v>5598.4587217629642</v>
      </c>
      <c r="J4" s="36">
        <f t="shared" si="1"/>
        <v>5760.1564348156326</v>
      </c>
      <c r="K4" s="36">
        <f t="shared" si="1"/>
        <v>6077.6683818444535</v>
      </c>
      <c r="L4" s="36">
        <f t="shared" si="1"/>
        <v>6434.0487775058127</v>
      </c>
      <c r="M4" s="36">
        <f t="shared" si="1"/>
        <v>6791.874174725559</v>
      </c>
      <c r="N4" s="36">
        <f t="shared" si="1"/>
        <v>7146.9826786114027</v>
      </c>
      <c r="O4" s="36">
        <f t="shared" si="1"/>
        <v>7515.2191669943877</v>
      </c>
      <c r="P4" s="36">
        <f t="shared" si="1"/>
        <v>7899.0757689109359</v>
      </c>
      <c r="Q4" s="36">
        <f t="shared" si="1"/>
        <v>8290.5505833498773</v>
      </c>
      <c r="R4" s="36">
        <f t="shared" si="1"/>
        <v>8359.8358302280722</v>
      </c>
      <c r="S4" s="36">
        <f t="shared" si="1"/>
        <v>8751.9674424277237</v>
      </c>
      <c r="T4" s="36">
        <f t="shared" si="1"/>
        <v>9150.7341687503031</v>
      </c>
      <c r="U4" s="36">
        <f t="shared" si="1"/>
        <v>9555.958559188939</v>
      </c>
      <c r="V4" s="36">
        <f t="shared" si="1"/>
        <v>9967.6013654170692</v>
      </c>
      <c r="W4" s="36">
        <f t="shared" si="1"/>
        <v>10391.790380597475</v>
      </c>
      <c r="X4" s="36">
        <f t="shared" si="1"/>
        <v>10834.203163007885</v>
      </c>
      <c r="Y4" s="36">
        <f t="shared" si="1"/>
        <v>11280.126722040945</v>
      </c>
      <c r="Z4" s="36">
        <f t="shared" si="1"/>
        <v>11728.841403008208</v>
      </c>
      <c r="AA4" s="36">
        <f t="shared" si="1"/>
        <v>12179.505518869588</v>
      </c>
      <c r="AB4" s="36">
        <f t="shared" si="1"/>
        <v>12631.200206938731</v>
      </c>
      <c r="AC4" s="36">
        <f t="shared" si="1"/>
        <v>13082.863049207645</v>
      </c>
      <c r="AD4" s="36">
        <f t="shared" si="1"/>
        <v>13533.259985988578</v>
      </c>
      <c r="AE4" s="36">
        <f t="shared" si="1"/>
        <v>13981.040474561334</v>
      </c>
      <c r="AF4" s="36">
        <f t="shared" si="1"/>
        <v>14424.632021086345</v>
      </c>
      <c r="AG4" s="36">
        <f t="shared" si="1"/>
        <v>14862.390136363918</v>
      </c>
      <c r="AH4" s="36">
        <f>SUM(AH5:AH7)</f>
        <v>15292.631956098638</v>
      </c>
      <c r="AI4" s="36">
        <f>SUM(AI5:AI7)</f>
        <v>15713.585338518629</v>
      </c>
      <c r="AJ4" s="36">
        <f>SUM(AJ5:AJ7)</f>
        <v>16123.592000184453</v>
      </c>
      <c r="AK4" s="36">
        <f>SUM(AK5:AK7)</f>
        <v>16521.595481825738</v>
      </c>
      <c r="AL4" s="36">
        <f>SUM(AL5:AL7)</f>
        <v>16783.314018269255</v>
      </c>
    </row>
    <row r="5" spans="2:42" ht="18" customHeight="1">
      <c r="B5" s="29" t="s">
        <v>80</v>
      </c>
      <c r="C5" s="10">
        <f t="shared" si="0"/>
        <v>196679.05499451744</v>
      </c>
      <c r="D5" s="10">
        <f>$C$11*QDJ!D$5</f>
        <v>0</v>
      </c>
      <c r="E5" s="10">
        <f>$C$11*QDJ!E$5</f>
        <v>0</v>
      </c>
      <c r="F5" s="10">
        <f>$C$11*QDJ!F$5</f>
        <v>2088.6518717743461</v>
      </c>
      <c r="G5" s="10">
        <f>$C$11*QDJ!G$5</f>
        <v>2712.1094295813382</v>
      </c>
      <c r="H5" s="10">
        <f>$C$11*QDJ!H$5</f>
        <v>3054.7654208493313</v>
      </c>
      <c r="I5" s="10">
        <f>$C$11*QDJ!I$5</f>
        <v>3236.1033073774361</v>
      </c>
      <c r="J5" s="10">
        <f>$C$11*QDJ!J$5</f>
        <v>3329.570193535048</v>
      </c>
      <c r="K5" s="10">
        <f>$C$11*QDJ!K$5</f>
        <v>3513.1031108927477</v>
      </c>
      <c r="L5" s="10">
        <f>$C$11*QDJ!L$5</f>
        <v>3719.1033395987361</v>
      </c>
      <c r="M5" s="10">
        <f>$C$11*QDJ!M$5</f>
        <v>3925.9388293211323</v>
      </c>
      <c r="N5" s="10">
        <f>$C$11*QDJ!N$5</f>
        <v>4131.2038604690197</v>
      </c>
      <c r="O5" s="10">
        <f>$C$11*QDJ!O$5</f>
        <v>4344.0573219620737</v>
      </c>
      <c r="P5" s="10">
        <f>$C$11*QDJ!P$5</f>
        <v>4565.9397508155698</v>
      </c>
      <c r="Q5" s="10">
        <f>$C$11*QDJ!Q$5</f>
        <v>4792.2257707224726</v>
      </c>
      <c r="R5" s="10">
        <f>$C$11*QDJ!R$5</f>
        <v>4832.2750463746088</v>
      </c>
      <c r="S5" s="10">
        <f>$C$11*QDJ!S$5</f>
        <v>5058.9407181663146</v>
      </c>
      <c r="T5" s="10">
        <f>$C$11*QDJ!T$5</f>
        <v>5289.4417160406374</v>
      </c>
      <c r="U5" s="10">
        <f>$C$11*QDJ!U$5</f>
        <v>5523.675467739271</v>
      </c>
      <c r="V5" s="10">
        <f>$C$11*QDJ!V$5</f>
        <v>5761.6192863682481</v>
      </c>
      <c r="W5" s="10">
        <f>$C$11*QDJ!W$5</f>
        <v>6006.8152489002741</v>
      </c>
      <c r="X5" s="10">
        <f>$C$11*QDJ!X$5</f>
        <v>6262.5451809294136</v>
      </c>
      <c r="Y5" s="10">
        <f>$C$11*QDJ!Y$5</f>
        <v>6520.3044636074819</v>
      </c>
      <c r="Z5" s="10">
        <f>$C$11*QDJ!Z$5</f>
        <v>6779.6771115654383</v>
      </c>
      <c r="AA5" s="10">
        <f>$C$11*QDJ!AA$5</f>
        <v>7040.1766005026529</v>
      </c>
      <c r="AB5" s="10">
        <f>$C$11*QDJ!AB$5</f>
        <v>7301.2717959183419</v>
      </c>
      <c r="AC5" s="10">
        <f>$C$11*QDJ!AC$5</f>
        <v>7562.3485833570203</v>
      </c>
      <c r="AD5" s="10">
        <f>$C$11*QDJ!AD$5</f>
        <v>7822.6936335194086</v>
      </c>
      <c r="AE5" s="10">
        <f>$C$11*QDJ!AE$5</f>
        <v>8081.5262858736041</v>
      </c>
      <c r="AF5" s="10">
        <f>$C$11*QDJ!AF$5</f>
        <v>8337.9375844429742</v>
      </c>
      <c r="AG5" s="10">
        <f>$C$11*QDJ!AG$5</f>
        <v>8590.9769574357906</v>
      </c>
      <c r="AH5" s="10">
        <f>$C$11*QDJ!AH$5</f>
        <v>8839.6716509240687</v>
      </c>
      <c r="AI5" s="10">
        <f>$C$11*QDJ!AI$5</f>
        <v>9082.9973055020982</v>
      </c>
      <c r="AJ5" s="10">
        <f>$C$11*QDJ!AJ$5</f>
        <v>9319.9953758291649</v>
      </c>
      <c r="AK5" s="10">
        <f>$C$11*QDJ!AK$5</f>
        <v>9550.0551918067849</v>
      </c>
      <c r="AL5" s="10">
        <f>$C$11*QDJ!AL$5</f>
        <v>9701.3375828145981</v>
      </c>
    </row>
    <row r="6" spans="2:42" ht="18" customHeight="1">
      <c r="B6" s="29" t="s">
        <v>81</v>
      </c>
      <c r="C6" s="10">
        <f t="shared" si="0"/>
        <v>118007.43299671043</v>
      </c>
      <c r="D6" s="10">
        <f>$C$12*QDJ!D$5</f>
        <v>0</v>
      </c>
      <c r="E6" s="10">
        <f>$C$12*QDJ!E$5</f>
        <v>0</v>
      </c>
      <c r="F6" s="10">
        <f>$C$12*QDJ!F$5</f>
        <v>1253.1911230646076</v>
      </c>
      <c r="G6" s="10">
        <f>$C$12*QDJ!G$5</f>
        <v>1627.2656577488028</v>
      </c>
      <c r="H6" s="10">
        <f>$C$12*QDJ!H$5</f>
        <v>1832.8592525095987</v>
      </c>
      <c r="I6" s="10">
        <f>$C$12*QDJ!I$5</f>
        <v>1941.6619844264615</v>
      </c>
      <c r="J6" s="10">
        <f>$C$12*QDJ!J$5</f>
        <v>1997.7421161210286</v>
      </c>
      <c r="K6" s="10">
        <f>$C$12*QDJ!K$5</f>
        <v>2107.8618665356485</v>
      </c>
      <c r="L6" s="10">
        <f>$C$12*QDJ!L$5</f>
        <v>2231.4620037592417</v>
      </c>
      <c r="M6" s="10">
        <f>$C$12*QDJ!M$5</f>
        <v>2355.5632975926792</v>
      </c>
      <c r="N6" s="10">
        <f>$C$12*QDJ!N$5</f>
        <v>2478.7223162814112</v>
      </c>
      <c r="O6" s="10">
        <f>$C$12*QDJ!O$5</f>
        <v>2606.4343931772441</v>
      </c>
      <c r="P6" s="10">
        <f>$C$12*QDJ!P$5</f>
        <v>2739.5638504893418</v>
      </c>
      <c r="Q6" s="10">
        <f>$C$12*QDJ!Q$5</f>
        <v>2875.3354624334834</v>
      </c>
      <c r="R6" s="10">
        <f>$C$12*QDJ!R$5</f>
        <v>2899.3650278247651</v>
      </c>
      <c r="S6" s="10">
        <f>$C$12*QDJ!S$5</f>
        <v>3035.3644308997882</v>
      </c>
      <c r="T6" s="10">
        <f>$C$12*QDJ!T$5</f>
        <v>3173.665029624382</v>
      </c>
      <c r="U6" s="10">
        <f>$C$12*QDJ!U$5</f>
        <v>3314.2052806435622</v>
      </c>
      <c r="V6" s="10">
        <f>$C$12*QDJ!V$5</f>
        <v>3456.9715718209482</v>
      </c>
      <c r="W6" s="10">
        <f>$C$12*QDJ!W$5</f>
        <v>3604.0891493401641</v>
      </c>
      <c r="X6" s="10">
        <f>$C$12*QDJ!X$5</f>
        <v>3757.5271085576478</v>
      </c>
      <c r="Y6" s="10">
        <f>$C$12*QDJ!Y$5</f>
        <v>3912.1826781644891</v>
      </c>
      <c r="Z6" s="10">
        <f>$C$12*QDJ!Z$5</f>
        <v>4067.8062669392625</v>
      </c>
      <c r="AA6" s="10">
        <f>$C$12*QDJ!AA$5</f>
        <v>4224.105960301591</v>
      </c>
      <c r="AB6" s="10">
        <f>$C$12*QDJ!AB$5</f>
        <v>4380.7630775510042</v>
      </c>
      <c r="AC6" s="10">
        <f>$C$12*QDJ!AC$5</f>
        <v>4537.4091500142122</v>
      </c>
      <c r="AD6" s="10">
        <f>$C$12*QDJ!AD$5</f>
        <v>4693.616180111645</v>
      </c>
      <c r="AE6" s="10">
        <f>$C$12*QDJ!AE$5</f>
        <v>4848.9157715241618</v>
      </c>
      <c r="AF6" s="10">
        <f>$C$12*QDJ!AF$5</f>
        <v>5002.7625506657841</v>
      </c>
      <c r="AG6" s="10">
        <f>$C$12*QDJ!AG$5</f>
        <v>5154.586174461474</v>
      </c>
      <c r="AH6" s="10">
        <f>$C$12*QDJ!AH$5</f>
        <v>5303.8029905544408</v>
      </c>
      <c r="AI6" s="10">
        <f>$C$12*QDJ!AI$5</f>
        <v>5449.7983833012586</v>
      </c>
      <c r="AJ6" s="10">
        <f>$C$12*QDJ!AJ$5</f>
        <v>5591.9972254974982</v>
      </c>
      <c r="AK6" s="10">
        <f>$C$12*QDJ!AK$5</f>
        <v>5730.0331150840702</v>
      </c>
      <c r="AL6" s="10">
        <f>$C$12*QDJ!AL$5</f>
        <v>5820.8025496887585</v>
      </c>
    </row>
    <row r="7" spans="2:42" ht="18" customHeight="1">
      <c r="B7" s="29" t="s">
        <v>82</v>
      </c>
      <c r="C7" s="10">
        <f t="shared" si="0"/>
        <v>25568.277149287263</v>
      </c>
      <c r="D7" s="10">
        <f>$C$13*QDJ!D$5</f>
        <v>0</v>
      </c>
      <c r="E7" s="10">
        <f>$C$13*QDJ!E$5</f>
        <v>0</v>
      </c>
      <c r="F7" s="10">
        <f>$C$13*QDJ!F$5</f>
        <v>271.52474333066499</v>
      </c>
      <c r="G7" s="10">
        <f>$C$13*QDJ!G$5</f>
        <v>352.57422584557395</v>
      </c>
      <c r="H7" s="10">
        <f>$C$13*QDJ!H$5</f>
        <v>397.11950471041308</v>
      </c>
      <c r="I7" s="10">
        <f>$C$13*QDJ!I$5</f>
        <v>420.69342995906663</v>
      </c>
      <c r="J7" s="10">
        <f>$C$13*QDJ!J$5</f>
        <v>432.8441251595562</v>
      </c>
      <c r="K7" s="10">
        <f>$C$13*QDJ!K$5</f>
        <v>456.7034044160572</v>
      </c>
      <c r="L7" s="10">
        <f>$C$13*QDJ!L$5</f>
        <v>483.48343414783568</v>
      </c>
      <c r="M7" s="10">
        <f>$C$13*QDJ!M$5</f>
        <v>510.37204781174711</v>
      </c>
      <c r="N7" s="10">
        <f>$C$13*QDJ!N$5</f>
        <v>537.0565018609725</v>
      </c>
      <c r="O7" s="10">
        <f>$C$13*QDJ!O$5</f>
        <v>564.7274518550696</v>
      </c>
      <c r="P7" s="10">
        <f>$C$13*QDJ!P$5</f>
        <v>593.5721676060241</v>
      </c>
      <c r="Q7" s="10">
        <f>$C$13*QDJ!Q$5</f>
        <v>622.98935019392138</v>
      </c>
      <c r="R7" s="10">
        <f>$C$13*QDJ!R$5</f>
        <v>628.19575602869907</v>
      </c>
      <c r="S7" s="10">
        <f>$C$13*QDJ!S$5</f>
        <v>657.66229336162075</v>
      </c>
      <c r="T7" s="10">
        <f>$C$13*QDJ!T$5</f>
        <v>687.62742308528277</v>
      </c>
      <c r="U7" s="10">
        <f>$C$13*QDJ!U$5</f>
        <v>718.07781080610505</v>
      </c>
      <c r="V7" s="10">
        <f>$C$13*QDJ!V$5</f>
        <v>749.01050722787215</v>
      </c>
      <c r="W7" s="10">
        <f>$C$13*QDJ!W$5</f>
        <v>780.88598235703557</v>
      </c>
      <c r="X7" s="10">
        <f>$C$13*QDJ!X$5</f>
        <v>814.13087352082368</v>
      </c>
      <c r="Y7" s="10">
        <f>$C$13*QDJ!Y$5</f>
        <v>847.63958026897262</v>
      </c>
      <c r="Z7" s="10">
        <f>$C$13*QDJ!Z$5</f>
        <v>881.35802450350695</v>
      </c>
      <c r="AA7" s="10">
        <f>$C$13*QDJ!AA$5</f>
        <v>915.22295806534476</v>
      </c>
      <c r="AB7" s="10">
        <f>$C$13*QDJ!AB$5</f>
        <v>949.16533346938434</v>
      </c>
      <c r="AC7" s="10">
        <f>$C$13*QDJ!AC$5</f>
        <v>983.10531583641261</v>
      </c>
      <c r="AD7" s="10">
        <f>$C$13*QDJ!AD$5</f>
        <v>1016.950172357523</v>
      </c>
      <c r="AE7" s="10">
        <f>$C$13*QDJ!AE$5</f>
        <v>1050.5984171635685</v>
      </c>
      <c r="AF7" s="10">
        <f>$C$13*QDJ!AF$5</f>
        <v>1083.9318859775865</v>
      </c>
      <c r="AG7" s="10">
        <f>$C$13*QDJ!AG$5</f>
        <v>1116.8270044666529</v>
      </c>
      <c r="AH7" s="10">
        <f>$C$13*QDJ!AH$5</f>
        <v>1149.1573146201288</v>
      </c>
      <c r="AI7" s="10">
        <f>$C$13*QDJ!AI$5</f>
        <v>1180.7896497152726</v>
      </c>
      <c r="AJ7" s="10">
        <f>$C$13*QDJ!AJ$5</f>
        <v>1211.5993988577911</v>
      </c>
      <c r="AK7" s="10">
        <f>$C$13*QDJ!AK$5</f>
        <v>1241.5071749348817</v>
      </c>
      <c r="AL7" s="10">
        <f>$C$13*QDJ!AL$5</f>
        <v>1261.1738857658977</v>
      </c>
    </row>
    <row r="8" spans="2:42" ht="24.95" customHeight="1">
      <c r="B8" s="43" t="s">
        <v>27</v>
      </c>
      <c r="C8" s="36">
        <f t="shared" si="0"/>
        <v>0</v>
      </c>
      <c r="D8" s="36">
        <f>D9</f>
        <v>0</v>
      </c>
      <c r="E8" s="36">
        <f t="shared" ref="E8:AL8" si="2">E9</f>
        <v>0</v>
      </c>
      <c r="F8" s="36">
        <f t="shared" si="2"/>
        <v>0</v>
      </c>
      <c r="G8" s="36">
        <f t="shared" si="2"/>
        <v>0</v>
      </c>
      <c r="H8" s="36">
        <f t="shared" si="2"/>
        <v>0</v>
      </c>
      <c r="I8" s="36">
        <f t="shared" si="2"/>
        <v>0</v>
      </c>
      <c r="J8" s="36">
        <f t="shared" si="2"/>
        <v>0</v>
      </c>
      <c r="K8" s="36">
        <f t="shared" si="2"/>
        <v>0</v>
      </c>
      <c r="L8" s="36">
        <f t="shared" si="2"/>
        <v>0</v>
      </c>
      <c r="M8" s="36">
        <f t="shared" si="2"/>
        <v>0</v>
      </c>
      <c r="N8" s="36">
        <f t="shared" si="2"/>
        <v>0</v>
      </c>
      <c r="O8" s="36">
        <f t="shared" si="2"/>
        <v>0</v>
      </c>
      <c r="P8" s="36">
        <f t="shared" si="2"/>
        <v>0</v>
      </c>
      <c r="Q8" s="36">
        <f t="shared" si="2"/>
        <v>0</v>
      </c>
      <c r="R8" s="36">
        <f t="shared" si="2"/>
        <v>0</v>
      </c>
      <c r="S8" s="36">
        <f t="shared" si="2"/>
        <v>0</v>
      </c>
      <c r="T8" s="36">
        <f t="shared" si="2"/>
        <v>0</v>
      </c>
      <c r="U8" s="36">
        <f t="shared" si="2"/>
        <v>0</v>
      </c>
      <c r="V8" s="36">
        <f t="shared" si="2"/>
        <v>0</v>
      </c>
      <c r="W8" s="36">
        <f t="shared" si="2"/>
        <v>0</v>
      </c>
      <c r="X8" s="36">
        <f t="shared" si="2"/>
        <v>0</v>
      </c>
      <c r="Y8" s="36">
        <f t="shared" si="2"/>
        <v>0</v>
      </c>
      <c r="Z8" s="36">
        <f t="shared" si="2"/>
        <v>0</v>
      </c>
      <c r="AA8" s="36">
        <f t="shared" si="2"/>
        <v>0</v>
      </c>
      <c r="AB8" s="36">
        <f t="shared" si="2"/>
        <v>0</v>
      </c>
      <c r="AC8" s="36">
        <f t="shared" si="2"/>
        <v>0</v>
      </c>
      <c r="AD8" s="36">
        <f t="shared" si="2"/>
        <v>0</v>
      </c>
      <c r="AE8" s="36">
        <f t="shared" si="2"/>
        <v>0</v>
      </c>
      <c r="AF8" s="36">
        <f t="shared" si="2"/>
        <v>0</v>
      </c>
      <c r="AG8" s="36">
        <f t="shared" si="2"/>
        <v>0</v>
      </c>
      <c r="AH8" s="36">
        <f t="shared" si="2"/>
        <v>0</v>
      </c>
      <c r="AI8" s="36">
        <f t="shared" si="2"/>
        <v>0</v>
      </c>
      <c r="AJ8" s="36">
        <f t="shared" si="2"/>
        <v>0</v>
      </c>
      <c r="AK8" s="36">
        <f t="shared" si="2"/>
        <v>0</v>
      </c>
      <c r="AL8" s="36">
        <f t="shared" si="2"/>
        <v>0</v>
      </c>
    </row>
    <row r="9" spans="2:42" ht="18" customHeight="1">
      <c r="B9" s="29" t="s">
        <v>83</v>
      </c>
      <c r="C9" s="10">
        <f t="shared" si="0"/>
        <v>0</v>
      </c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</row>
    <row r="11" spans="2:42" s="23" customFormat="1" ht="18" customHeight="1">
      <c r="B11" s="34" t="s">
        <v>28</v>
      </c>
      <c r="C11" s="42">
        <v>0.05</v>
      </c>
    </row>
    <row r="12" spans="2:42" s="23" customFormat="1" ht="18" customHeight="1">
      <c r="B12" s="34" t="s">
        <v>29</v>
      </c>
      <c r="C12" s="42">
        <v>0.03</v>
      </c>
    </row>
    <row r="13" spans="2:42" s="23" customFormat="1" ht="18" customHeight="1">
      <c r="B13" s="34" t="s">
        <v>30</v>
      </c>
      <c r="C13" s="42">
        <v>6.4999999999999997E-3</v>
      </c>
    </row>
  </sheetData>
  <phoneticPr fontId="16" type="noConversion"/>
  <printOptions horizontalCentered="1"/>
  <pageMargins left="0.98425196850393704" right="0.39370078740157483" top="1.1811023622047245" bottom="0.78740157480314965" header="0.78740157480314965" footer="0.78740157480314965"/>
  <pageSetup paperSize="9" scale="62" orientation="landscape" r:id="rId1"/>
  <headerFooter>
    <oddFooter xml:space="preserve">&amp;L&amp;"Arial,Negrito"Nota: a base de cálculo dos impostos, taxas e tributos apresentados é a Receita de Pedágio (Quadro B), não incidindo sobre as Receitas de Construção, destacadas no item 1.2 dos Quadros J e K.  </oddFooter>
  </headerFooter>
  <colBreaks count="1" manualBreakCount="1">
    <brk id="21" max="12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Planilha11"/>
  <dimension ref="B1:AP46"/>
  <sheetViews>
    <sheetView showGridLines="0" topLeftCell="B2" zoomScaleNormal="100" workbookViewId="0">
      <pane xSplit="1" ySplit="2" topLeftCell="C4" activePane="bottomRight" state="frozen"/>
      <selection activeCell="F15" sqref="F15"/>
      <selection pane="topRight" activeCell="F15" sqref="F15"/>
      <selection pane="bottomLeft" activeCell="F15" sqref="F15"/>
      <selection pane="bottomRight" activeCell="C4" sqref="C4"/>
    </sheetView>
  </sheetViews>
  <sheetFormatPr defaultRowHeight="12.75"/>
  <cols>
    <col min="1" max="1" width="3.7109375" customWidth="1"/>
    <col min="2" max="2" width="33.140625" customWidth="1"/>
    <col min="3" max="3" width="12" customWidth="1"/>
    <col min="4" max="38" width="10.7109375" customWidth="1"/>
  </cols>
  <sheetData>
    <row r="1" spans="2:42" ht="30.2" customHeight="1">
      <c r="B1" s="19" t="str">
        <f>QDA!B1:O1</f>
        <v>CONCESSIONÁRIA ROTA DO ATLÂNTICO</v>
      </c>
      <c r="C1" s="19"/>
      <c r="I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7"/>
      <c r="AI1" s="7"/>
      <c r="AJ1" s="7"/>
      <c r="AK1" s="7"/>
      <c r="AL1" s="7"/>
      <c r="AM1" s="7"/>
      <c r="AN1" s="7"/>
      <c r="AO1" s="7"/>
      <c r="AP1" s="7"/>
    </row>
    <row r="2" spans="2:42" ht="15">
      <c r="B2" s="5" t="s">
        <v>220</v>
      </c>
      <c r="C2" s="20"/>
      <c r="D2" s="148" t="s">
        <v>43</v>
      </c>
      <c r="E2" s="146"/>
      <c r="G2" s="20" t="s">
        <v>230</v>
      </c>
      <c r="AG2" s="20"/>
      <c r="AL2" s="20"/>
    </row>
    <row r="3" spans="2:42" s="23" customFormat="1" ht="30.2" customHeight="1">
      <c r="B3" s="26" t="s">
        <v>78</v>
      </c>
      <c r="C3" s="26" t="s">
        <v>4</v>
      </c>
      <c r="D3" s="26">
        <v>1</v>
      </c>
      <c r="E3" s="26">
        <v>2</v>
      </c>
      <c r="F3" s="26">
        <v>3</v>
      </c>
      <c r="G3" s="26">
        <v>4</v>
      </c>
      <c r="H3" s="26">
        <v>5</v>
      </c>
      <c r="I3" s="26">
        <v>6</v>
      </c>
      <c r="J3" s="26">
        <v>7</v>
      </c>
      <c r="K3" s="26">
        <v>8</v>
      </c>
      <c r="L3" s="26">
        <v>9</v>
      </c>
      <c r="M3" s="26">
        <v>10</v>
      </c>
      <c r="N3" s="26">
        <v>11</v>
      </c>
      <c r="O3" s="26">
        <v>12</v>
      </c>
      <c r="P3" s="26">
        <v>13</v>
      </c>
      <c r="Q3" s="26">
        <v>14</v>
      </c>
      <c r="R3" s="26">
        <v>15</v>
      </c>
      <c r="S3" s="26">
        <v>16</v>
      </c>
      <c r="T3" s="26">
        <v>17</v>
      </c>
      <c r="U3" s="26">
        <v>18</v>
      </c>
      <c r="V3" s="26">
        <v>19</v>
      </c>
      <c r="W3" s="26">
        <v>20</v>
      </c>
      <c r="X3" s="26">
        <v>21</v>
      </c>
      <c r="Y3" s="26">
        <v>22</v>
      </c>
      <c r="Z3" s="26">
        <v>23</v>
      </c>
      <c r="AA3" s="26">
        <v>24</v>
      </c>
      <c r="AB3" s="26">
        <v>25</v>
      </c>
      <c r="AC3" s="26">
        <v>26</v>
      </c>
      <c r="AD3" s="26">
        <v>27</v>
      </c>
      <c r="AE3" s="26">
        <v>28</v>
      </c>
      <c r="AF3" s="26">
        <v>29</v>
      </c>
      <c r="AG3" s="26">
        <v>30</v>
      </c>
      <c r="AH3" s="26">
        <v>31</v>
      </c>
      <c r="AI3" s="26">
        <v>32</v>
      </c>
      <c r="AJ3" s="26">
        <v>33</v>
      </c>
      <c r="AK3" s="26">
        <v>34</v>
      </c>
      <c r="AL3" s="26">
        <v>35</v>
      </c>
    </row>
    <row r="4" spans="2:42" s="23" customFormat="1" ht="28.15" customHeight="1">
      <c r="B4" s="44" t="s">
        <v>44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U4" s="45"/>
      <c r="V4" s="45"/>
      <c r="W4" s="45"/>
      <c r="X4" s="45"/>
      <c r="Y4" s="45"/>
      <c r="Z4" s="45"/>
      <c r="AA4" s="45"/>
      <c r="AB4" s="45"/>
      <c r="AC4" s="45"/>
      <c r="AD4" s="45"/>
      <c r="AE4" s="45"/>
      <c r="AF4" s="45"/>
      <c r="AG4" s="46"/>
      <c r="AH4" s="46"/>
      <c r="AI4" s="46"/>
      <c r="AJ4" s="46"/>
      <c r="AK4" s="46"/>
      <c r="AL4" s="46"/>
    </row>
    <row r="5" spans="2:42" ht="18" customHeight="1">
      <c r="B5" s="8" t="s">
        <v>45</v>
      </c>
      <c r="C5" s="10">
        <f>SUM(D5:AL5)</f>
        <v>8006.847597216638</v>
      </c>
      <c r="D5" s="10">
        <f>QDF!E7/SUM(QDF!E4:E7)*QDC!C10</f>
        <v>2815.1365276545243</v>
      </c>
      <c r="E5" s="10">
        <f>QDF!F7/SUM(QDF!F4:F7)*QDC!D10</f>
        <v>5191.7110695621132</v>
      </c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</row>
    <row r="6" spans="2:42" ht="18" customHeight="1">
      <c r="B6" s="8" t="s">
        <v>46</v>
      </c>
      <c r="C6" s="10">
        <f>SUM(D6:AL6)</f>
        <v>0</v>
      </c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</row>
    <row r="7" spans="2:42" ht="18" customHeight="1">
      <c r="B7" s="8" t="s">
        <v>47</v>
      </c>
      <c r="C7" s="10">
        <f>SUM(D7:AL7)</f>
        <v>10864.415483888435</v>
      </c>
      <c r="D7" s="10">
        <f>SUM(D8:D9)</f>
        <v>63.980375628512171</v>
      </c>
      <c r="E7" s="10">
        <f t="shared" ref="E7:AL7" si="0">SUM(E8:E9)</f>
        <v>245.95418465616376</v>
      </c>
      <c r="F7" s="10">
        <f t="shared" si="0"/>
        <v>979.85897168735232</v>
      </c>
      <c r="G7" s="10">
        <f t="shared" si="0"/>
        <v>951.86300106771364</v>
      </c>
      <c r="H7" s="10">
        <f t="shared" si="0"/>
        <v>923.86703044807484</v>
      </c>
      <c r="I7" s="10">
        <f t="shared" si="0"/>
        <v>895.87105982843616</v>
      </c>
      <c r="J7" s="10">
        <f t="shared" si="0"/>
        <v>867.87508920879736</v>
      </c>
      <c r="K7" s="10">
        <f t="shared" si="0"/>
        <v>839.87911858915868</v>
      </c>
      <c r="L7" s="10">
        <f t="shared" si="0"/>
        <v>811.88314796952</v>
      </c>
      <c r="M7" s="10">
        <f t="shared" si="0"/>
        <v>783.88717734988131</v>
      </c>
      <c r="N7" s="10">
        <f t="shared" si="0"/>
        <v>755.89120673024263</v>
      </c>
      <c r="O7" s="10">
        <f t="shared" si="0"/>
        <v>727.89523611060383</v>
      </c>
      <c r="P7" s="10">
        <f t="shared" si="0"/>
        <v>699.89926549096515</v>
      </c>
      <c r="Q7" s="10">
        <f t="shared" si="0"/>
        <v>671.90329487132647</v>
      </c>
      <c r="R7" s="10">
        <f t="shared" si="0"/>
        <v>643.90732425168778</v>
      </c>
      <c r="S7" s="10">
        <f t="shared" si="0"/>
        <v>-7.234616945921049E-14</v>
      </c>
      <c r="T7" s="10">
        <f t="shared" si="0"/>
        <v>-7.234616945921049E-14</v>
      </c>
      <c r="U7" s="10">
        <f t="shared" si="0"/>
        <v>-7.234616945921049E-14</v>
      </c>
      <c r="V7" s="10">
        <f t="shared" si="0"/>
        <v>-7.234616945921049E-14</v>
      </c>
      <c r="W7" s="10">
        <f t="shared" si="0"/>
        <v>-7.234616945921049E-14</v>
      </c>
      <c r="X7" s="10">
        <f t="shared" si="0"/>
        <v>-7.234616945921049E-14</v>
      </c>
      <c r="Y7" s="10">
        <f t="shared" si="0"/>
        <v>-7.234616945921049E-14</v>
      </c>
      <c r="Z7" s="10">
        <f t="shared" si="0"/>
        <v>-7.234616945921049E-14</v>
      </c>
      <c r="AA7" s="10">
        <f t="shared" si="0"/>
        <v>-7.234616945921049E-14</v>
      </c>
      <c r="AB7" s="10">
        <f t="shared" si="0"/>
        <v>-7.234616945921049E-14</v>
      </c>
      <c r="AC7" s="10">
        <f t="shared" si="0"/>
        <v>-7.234616945921049E-14</v>
      </c>
      <c r="AD7" s="10">
        <f t="shared" si="0"/>
        <v>-7.234616945921049E-14</v>
      </c>
      <c r="AE7" s="10">
        <f t="shared" si="0"/>
        <v>-7.234616945921049E-14</v>
      </c>
      <c r="AF7" s="10">
        <f t="shared" si="0"/>
        <v>-7.234616945921049E-14</v>
      </c>
      <c r="AG7" s="10">
        <f t="shared" si="0"/>
        <v>-7.234616945921049E-14</v>
      </c>
      <c r="AH7" s="10">
        <f t="shared" si="0"/>
        <v>-7.234616945921049E-14</v>
      </c>
      <c r="AI7" s="10">
        <f t="shared" si="0"/>
        <v>-7.234616945921049E-14</v>
      </c>
      <c r="AJ7" s="10">
        <f t="shared" si="0"/>
        <v>-7.234616945921049E-14</v>
      </c>
      <c r="AK7" s="10">
        <f t="shared" si="0"/>
        <v>-7.234616945921049E-14</v>
      </c>
      <c r="AL7" s="10">
        <f t="shared" si="0"/>
        <v>-7.234616945921049E-14</v>
      </c>
    </row>
    <row r="8" spans="2:42" ht="18" customHeight="1">
      <c r="B8" s="11" t="s">
        <v>48</v>
      </c>
      <c r="C8" s="10">
        <f>SUM(D8:AL8)</f>
        <v>2857.5678866717976</v>
      </c>
      <c r="D8" s="10">
        <f>D35</f>
        <v>63.980375628512171</v>
      </c>
      <c r="E8" s="10">
        <f>E35</f>
        <v>245.95418465616376</v>
      </c>
      <c r="F8" s="10">
        <f t="shared" ref="F8:AL8" si="1">-F36</f>
        <v>363.94761805530317</v>
      </c>
      <c r="G8" s="10">
        <f t="shared" si="1"/>
        <v>335.95164743566448</v>
      </c>
      <c r="H8" s="10">
        <f t="shared" si="1"/>
        <v>307.95567681602574</v>
      </c>
      <c r="I8" s="10">
        <f t="shared" si="1"/>
        <v>279.95970619638706</v>
      </c>
      <c r="J8" s="10">
        <f t="shared" si="1"/>
        <v>251.96373557674832</v>
      </c>
      <c r="K8" s="10">
        <f t="shared" si="1"/>
        <v>223.96776495710961</v>
      </c>
      <c r="L8" s="10">
        <f t="shared" si="1"/>
        <v>195.9717943374709</v>
      </c>
      <c r="M8" s="10">
        <f t="shared" si="1"/>
        <v>167.97582371783218</v>
      </c>
      <c r="N8" s="10">
        <f t="shared" si="1"/>
        <v>139.97985309819347</v>
      </c>
      <c r="O8" s="10">
        <f t="shared" si="1"/>
        <v>111.98388247855476</v>
      </c>
      <c r="P8" s="10">
        <f t="shared" si="1"/>
        <v>83.98791185891605</v>
      </c>
      <c r="Q8" s="10">
        <f t="shared" si="1"/>
        <v>55.991941239277345</v>
      </c>
      <c r="R8" s="10">
        <f t="shared" si="1"/>
        <v>27.995970619638634</v>
      </c>
      <c r="S8" s="10">
        <f t="shared" si="1"/>
        <v>-7.234616945921049E-14</v>
      </c>
      <c r="T8" s="10">
        <f t="shared" si="1"/>
        <v>-7.234616945921049E-14</v>
      </c>
      <c r="U8" s="10">
        <f t="shared" si="1"/>
        <v>-7.234616945921049E-14</v>
      </c>
      <c r="V8" s="10">
        <f t="shared" si="1"/>
        <v>-7.234616945921049E-14</v>
      </c>
      <c r="W8" s="10">
        <f t="shared" si="1"/>
        <v>-7.234616945921049E-14</v>
      </c>
      <c r="X8" s="10">
        <f t="shared" si="1"/>
        <v>-7.234616945921049E-14</v>
      </c>
      <c r="Y8" s="10">
        <f t="shared" si="1"/>
        <v>-7.234616945921049E-14</v>
      </c>
      <c r="Z8" s="10">
        <f t="shared" si="1"/>
        <v>-7.234616945921049E-14</v>
      </c>
      <c r="AA8" s="10">
        <f t="shared" si="1"/>
        <v>-7.234616945921049E-14</v>
      </c>
      <c r="AB8" s="10">
        <f t="shared" si="1"/>
        <v>-7.234616945921049E-14</v>
      </c>
      <c r="AC8" s="10">
        <f t="shared" si="1"/>
        <v>-7.234616945921049E-14</v>
      </c>
      <c r="AD8" s="10">
        <f t="shared" si="1"/>
        <v>-7.234616945921049E-14</v>
      </c>
      <c r="AE8" s="10">
        <f t="shared" si="1"/>
        <v>-7.234616945921049E-14</v>
      </c>
      <c r="AF8" s="10">
        <f t="shared" si="1"/>
        <v>-7.234616945921049E-14</v>
      </c>
      <c r="AG8" s="10">
        <f t="shared" si="1"/>
        <v>-7.234616945921049E-14</v>
      </c>
      <c r="AH8" s="10">
        <f t="shared" si="1"/>
        <v>-7.234616945921049E-14</v>
      </c>
      <c r="AI8" s="10">
        <f t="shared" si="1"/>
        <v>-7.234616945921049E-14</v>
      </c>
      <c r="AJ8" s="10">
        <f t="shared" si="1"/>
        <v>-7.234616945921049E-14</v>
      </c>
      <c r="AK8" s="10">
        <f t="shared" si="1"/>
        <v>-7.234616945921049E-14</v>
      </c>
      <c r="AL8" s="10">
        <f t="shared" si="1"/>
        <v>-7.234616945921049E-14</v>
      </c>
    </row>
    <row r="9" spans="2:42" ht="18" customHeight="1">
      <c r="B9" s="11" t="s">
        <v>49</v>
      </c>
      <c r="C9" s="10">
        <f>SUM(D9:AL9)</f>
        <v>8006.8475972166389</v>
      </c>
      <c r="D9" s="10"/>
      <c r="E9" s="10"/>
      <c r="F9" s="10">
        <f t="shared" ref="F9:AL9" si="2">-F37</f>
        <v>615.9113536320491</v>
      </c>
      <c r="G9" s="10">
        <f t="shared" si="2"/>
        <v>615.9113536320491</v>
      </c>
      <c r="H9" s="10">
        <f t="shared" si="2"/>
        <v>615.9113536320491</v>
      </c>
      <c r="I9" s="10">
        <f t="shared" si="2"/>
        <v>615.9113536320491</v>
      </c>
      <c r="J9" s="10">
        <f t="shared" si="2"/>
        <v>615.9113536320491</v>
      </c>
      <c r="K9" s="10">
        <f t="shared" si="2"/>
        <v>615.9113536320491</v>
      </c>
      <c r="L9" s="10">
        <f t="shared" si="2"/>
        <v>615.9113536320491</v>
      </c>
      <c r="M9" s="10">
        <f t="shared" si="2"/>
        <v>615.9113536320491</v>
      </c>
      <c r="N9" s="10">
        <f t="shared" si="2"/>
        <v>615.9113536320491</v>
      </c>
      <c r="O9" s="10">
        <f t="shared" si="2"/>
        <v>615.9113536320491</v>
      </c>
      <c r="P9" s="10">
        <f t="shared" si="2"/>
        <v>615.9113536320491</v>
      </c>
      <c r="Q9" s="10">
        <f t="shared" si="2"/>
        <v>615.9113536320491</v>
      </c>
      <c r="R9" s="10">
        <f t="shared" si="2"/>
        <v>615.9113536320491</v>
      </c>
      <c r="S9" s="10">
        <f t="shared" si="2"/>
        <v>0</v>
      </c>
      <c r="T9" s="10">
        <f t="shared" si="2"/>
        <v>0</v>
      </c>
      <c r="U9" s="10">
        <f t="shared" si="2"/>
        <v>0</v>
      </c>
      <c r="V9" s="10">
        <f t="shared" si="2"/>
        <v>0</v>
      </c>
      <c r="W9" s="10">
        <f t="shared" si="2"/>
        <v>0</v>
      </c>
      <c r="X9" s="10">
        <f t="shared" si="2"/>
        <v>0</v>
      </c>
      <c r="Y9" s="10">
        <f t="shared" si="2"/>
        <v>0</v>
      </c>
      <c r="Z9" s="10">
        <f t="shared" si="2"/>
        <v>0</v>
      </c>
      <c r="AA9" s="10">
        <f t="shared" si="2"/>
        <v>0</v>
      </c>
      <c r="AB9" s="10">
        <f t="shared" si="2"/>
        <v>0</v>
      </c>
      <c r="AC9" s="10">
        <f t="shared" si="2"/>
        <v>0</v>
      </c>
      <c r="AD9" s="10">
        <f t="shared" si="2"/>
        <v>0</v>
      </c>
      <c r="AE9" s="10">
        <f t="shared" si="2"/>
        <v>0</v>
      </c>
      <c r="AF9" s="10">
        <f t="shared" si="2"/>
        <v>0</v>
      </c>
      <c r="AG9" s="10">
        <f t="shared" si="2"/>
        <v>0</v>
      </c>
      <c r="AH9" s="10">
        <f t="shared" si="2"/>
        <v>0</v>
      </c>
      <c r="AI9" s="10">
        <f t="shared" si="2"/>
        <v>0</v>
      </c>
      <c r="AJ9" s="10">
        <f t="shared" si="2"/>
        <v>0</v>
      </c>
      <c r="AK9" s="10">
        <f t="shared" si="2"/>
        <v>0</v>
      </c>
      <c r="AL9" s="10">
        <f t="shared" si="2"/>
        <v>0</v>
      </c>
    </row>
    <row r="10" spans="2:42" s="23" customFormat="1" ht="28.15" customHeight="1">
      <c r="B10" s="44" t="s">
        <v>50</v>
      </c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  <c r="AA10" s="45"/>
      <c r="AB10" s="45"/>
      <c r="AC10" s="45"/>
      <c r="AD10" s="45"/>
      <c r="AE10" s="45"/>
      <c r="AF10" s="45"/>
      <c r="AG10" s="46"/>
      <c r="AH10" s="46"/>
      <c r="AI10" s="46"/>
      <c r="AJ10" s="46"/>
      <c r="AK10" s="46"/>
      <c r="AL10" s="46"/>
    </row>
    <row r="11" spans="2:42" ht="18" customHeight="1">
      <c r="B11" s="8" t="s">
        <v>51</v>
      </c>
      <c r="C11" s="10">
        <f>SUM(D11:AL11)</f>
        <v>0</v>
      </c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</row>
    <row r="12" spans="2:42" ht="18" customHeight="1">
      <c r="B12" s="8" t="s">
        <v>52</v>
      </c>
      <c r="C12" s="10">
        <f>SUM(D12:AL12)</f>
        <v>0</v>
      </c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</row>
    <row r="13" spans="2:42" ht="18" customHeight="1">
      <c r="B13" s="8" t="s">
        <v>53</v>
      </c>
      <c r="C13" s="10">
        <f>SUM(D13:AL13)</f>
        <v>0</v>
      </c>
      <c r="D13" s="10">
        <f>SUM(D14:D15)</f>
        <v>0</v>
      </c>
      <c r="E13" s="10">
        <f t="shared" ref="E13:AL13" si="3">SUM(E14:E15)</f>
        <v>0</v>
      </c>
      <c r="F13" s="10">
        <f t="shared" si="3"/>
        <v>0</v>
      </c>
      <c r="G13" s="10">
        <f t="shared" si="3"/>
        <v>0</v>
      </c>
      <c r="H13" s="10">
        <f t="shared" si="3"/>
        <v>0</v>
      </c>
      <c r="I13" s="10">
        <f t="shared" si="3"/>
        <v>0</v>
      </c>
      <c r="J13" s="10">
        <f t="shared" si="3"/>
        <v>0</v>
      </c>
      <c r="K13" s="10">
        <f t="shared" si="3"/>
        <v>0</v>
      </c>
      <c r="L13" s="10">
        <f t="shared" si="3"/>
        <v>0</v>
      </c>
      <c r="M13" s="10">
        <f t="shared" si="3"/>
        <v>0</v>
      </c>
      <c r="N13" s="10">
        <f t="shared" si="3"/>
        <v>0</v>
      </c>
      <c r="O13" s="10">
        <f t="shared" si="3"/>
        <v>0</v>
      </c>
      <c r="P13" s="10">
        <f t="shared" si="3"/>
        <v>0</v>
      </c>
      <c r="Q13" s="10">
        <f t="shared" si="3"/>
        <v>0</v>
      </c>
      <c r="R13" s="10">
        <f t="shared" si="3"/>
        <v>0</v>
      </c>
      <c r="S13" s="10">
        <f t="shared" si="3"/>
        <v>0</v>
      </c>
      <c r="T13" s="10">
        <f t="shared" si="3"/>
        <v>0</v>
      </c>
      <c r="U13" s="10">
        <f t="shared" si="3"/>
        <v>0</v>
      </c>
      <c r="V13" s="10">
        <f t="shared" si="3"/>
        <v>0</v>
      </c>
      <c r="W13" s="10">
        <f t="shared" si="3"/>
        <v>0</v>
      </c>
      <c r="X13" s="10">
        <f t="shared" si="3"/>
        <v>0</v>
      </c>
      <c r="Y13" s="10">
        <f t="shared" si="3"/>
        <v>0</v>
      </c>
      <c r="Z13" s="10">
        <f t="shared" si="3"/>
        <v>0</v>
      </c>
      <c r="AA13" s="10">
        <f t="shared" si="3"/>
        <v>0</v>
      </c>
      <c r="AB13" s="10">
        <f t="shared" si="3"/>
        <v>0</v>
      </c>
      <c r="AC13" s="10">
        <f t="shared" si="3"/>
        <v>0</v>
      </c>
      <c r="AD13" s="10">
        <f t="shared" si="3"/>
        <v>0</v>
      </c>
      <c r="AE13" s="10">
        <f t="shared" si="3"/>
        <v>0</v>
      </c>
      <c r="AF13" s="10">
        <f t="shared" si="3"/>
        <v>0</v>
      </c>
      <c r="AG13" s="10">
        <f t="shared" si="3"/>
        <v>0</v>
      </c>
      <c r="AH13" s="10">
        <f t="shared" si="3"/>
        <v>0</v>
      </c>
      <c r="AI13" s="10">
        <f t="shared" si="3"/>
        <v>0</v>
      </c>
      <c r="AJ13" s="10">
        <f t="shared" si="3"/>
        <v>0</v>
      </c>
      <c r="AK13" s="10">
        <f t="shared" si="3"/>
        <v>0</v>
      </c>
      <c r="AL13" s="10">
        <f t="shared" si="3"/>
        <v>0</v>
      </c>
    </row>
    <row r="14" spans="2:42" ht="18" customHeight="1">
      <c r="B14" s="11" t="s">
        <v>54</v>
      </c>
      <c r="C14" s="10">
        <f>SUM(D14:AL14)</f>
        <v>0</v>
      </c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</row>
    <row r="15" spans="2:42" ht="18" customHeight="1">
      <c r="B15" s="11" t="s">
        <v>55</v>
      </c>
      <c r="C15" s="10">
        <f>SUM(D15:AL15)</f>
        <v>0</v>
      </c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</row>
    <row r="16" spans="2:42" s="23" customFormat="1" ht="28.15" customHeight="1">
      <c r="B16" s="44" t="s">
        <v>56</v>
      </c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  <c r="AA16" s="45"/>
      <c r="AB16" s="45"/>
      <c r="AC16" s="45"/>
      <c r="AD16" s="45"/>
      <c r="AE16" s="45"/>
      <c r="AF16" s="45"/>
      <c r="AG16" s="46"/>
      <c r="AH16" s="46"/>
      <c r="AI16" s="46"/>
      <c r="AJ16" s="46"/>
      <c r="AK16" s="46"/>
      <c r="AL16" s="46"/>
    </row>
    <row r="17" spans="2:38" ht="18" customHeight="1">
      <c r="B17" s="8" t="s">
        <v>57</v>
      </c>
      <c r="C17" s="10">
        <f t="shared" ref="C17:C26" si="4">SUM(D17:AL17)</f>
        <v>143917.12683734039</v>
      </c>
      <c r="D17" s="10">
        <f>QDC!C10-D5</f>
        <v>20959.817889154117</v>
      </c>
      <c r="E17" s="10">
        <f>QDC!D10-E5</f>
        <v>122957.30894818627</v>
      </c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</row>
    <row r="18" spans="2:38" ht="18" customHeight="1">
      <c r="B18" s="8" t="s">
        <v>58</v>
      </c>
      <c r="C18" s="10">
        <f t="shared" si="4"/>
        <v>0</v>
      </c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</row>
    <row r="19" spans="2:38" ht="18" customHeight="1">
      <c r="B19" s="8" t="s">
        <v>59</v>
      </c>
      <c r="C19" s="10">
        <f t="shared" si="4"/>
        <v>193932.50270866818</v>
      </c>
      <c r="D19" s="10">
        <f>SUM(D20:D21)</f>
        <v>476.35949748077729</v>
      </c>
      <c r="E19" s="10">
        <f t="shared" ref="E19:AL19" si="5">SUM(E20:E21)</f>
        <v>3747.2032892385259</v>
      </c>
      <c r="F19" s="10">
        <f t="shared" si="5"/>
        <v>17612.235801772451</v>
      </c>
      <c r="G19" s="10">
        <f t="shared" si="5"/>
        <v>17109.02906457895</v>
      </c>
      <c r="H19" s="10">
        <f t="shared" si="5"/>
        <v>16605.822327385453</v>
      </c>
      <c r="I19" s="10">
        <f t="shared" si="5"/>
        <v>16102.615590191952</v>
      </c>
      <c r="J19" s="10">
        <f t="shared" si="5"/>
        <v>15599.408852998451</v>
      </c>
      <c r="K19" s="10">
        <f t="shared" si="5"/>
        <v>15096.202115804952</v>
      </c>
      <c r="L19" s="10">
        <f t="shared" si="5"/>
        <v>14592.995378611451</v>
      </c>
      <c r="M19" s="10">
        <f t="shared" si="5"/>
        <v>14089.788641417952</v>
      </c>
      <c r="N19" s="10">
        <f t="shared" si="5"/>
        <v>13586.581904224451</v>
      </c>
      <c r="O19" s="10">
        <f t="shared" si="5"/>
        <v>13083.375167030952</v>
      </c>
      <c r="P19" s="10">
        <f t="shared" si="5"/>
        <v>12580.168429837451</v>
      </c>
      <c r="Q19" s="10">
        <f t="shared" si="5"/>
        <v>12076.961692643952</v>
      </c>
      <c r="R19" s="10">
        <f t="shared" si="5"/>
        <v>11573.754955450451</v>
      </c>
      <c r="S19" s="10">
        <f t="shared" si="5"/>
        <v>0</v>
      </c>
      <c r="T19" s="10">
        <f t="shared" si="5"/>
        <v>0</v>
      </c>
      <c r="U19" s="10">
        <f t="shared" si="5"/>
        <v>0</v>
      </c>
      <c r="V19" s="10">
        <f t="shared" si="5"/>
        <v>0</v>
      </c>
      <c r="W19" s="10">
        <f t="shared" si="5"/>
        <v>0</v>
      </c>
      <c r="X19" s="10">
        <f t="shared" si="5"/>
        <v>0</v>
      </c>
      <c r="Y19" s="10">
        <f t="shared" si="5"/>
        <v>0</v>
      </c>
      <c r="Z19" s="10">
        <f t="shared" si="5"/>
        <v>0</v>
      </c>
      <c r="AA19" s="10">
        <f t="shared" si="5"/>
        <v>0</v>
      </c>
      <c r="AB19" s="10">
        <f t="shared" si="5"/>
        <v>0</v>
      </c>
      <c r="AC19" s="10">
        <f t="shared" si="5"/>
        <v>0</v>
      </c>
      <c r="AD19" s="10">
        <f t="shared" si="5"/>
        <v>0</v>
      </c>
      <c r="AE19" s="10">
        <f t="shared" si="5"/>
        <v>0</v>
      </c>
      <c r="AF19" s="10">
        <f t="shared" si="5"/>
        <v>0</v>
      </c>
      <c r="AG19" s="10">
        <f t="shared" si="5"/>
        <v>0</v>
      </c>
      <c r="AH19" s="10">
        <f t="shared" si="5"/>
        <v>0</v>
      </c>
      <c r="AI19" s="10">
        <f t="shared" si="5"/>
        <v>0</v>
      </c>
      <c r="AJ19" s="10">
        <f t="shared" si="5"/>
        <v>0</v>
      </c>
      <c r="AK19" s="10">
        <f t="shared" si="5"/>
        <v>0</v>
      </c>
      <c r="AL19" s="10">
        <f t="shared" si="5"/>
        <v>0</v>
      </c>
    </row>
    <row r="20" spans="2:38" ht="18" customHeight="1">
      <c r="B20" s="11" t="s">
        <v>60</v>
      </c>
      <c r="C20" s="10">
        <f t="shared" si="4"/>
        <v>50015.375871327793</v>
      </c>
      <c r="D20" s="10">
        <f>D43</f>
        <v>476.35949748077729</v>
      </c>
      <c r="E20" s="10">
        <f>E43</f>
        <v>3747.2032892385259</v>
      </c>
      <c r="F20" s="10">
        <f>-F44</f>
        <v>6541.6875835154979</v>
      </c>
      <c r="G20" s="10">
        <f t="shared" ref="G20:AL20" si="6">-G44</f>
        <v>6038.4808463219988</v>
      </c>
      <c r="H20" s="10">
        <f t="shared" si="6"/>
        <v>5535.2741091284988</v>
      </c>
      <c r="I20" s="10">
        <f t="shared" si="6"/>
        <v>5032.0673719349988</v>
      </c>
      <c r="J20" s="10">
        <f t="shared" si="6"/>
        <v>4528.8606347414989</v>
      </c>
      <c r="K20" s="10">
        <f t="shared" si="6"/>
        <v>4025.6538975479993</v>
      </c>
      <c r="L20" s="10">
        <f t="shared" si="6"/>
        <v>3522.4471603544994</v>
      </c>
      <c r="M20" s="10">
        <f t="shared" si="6"/>
        <v>3019.2404231609994</v>
      </c>
      <c r="N20" s="10">
        <f t="shared" si="6"/>
        <v>2516.0336859674994</v>
      </c>
      <c r="O20" s="10">
        <f t="shared" si="6"/>
        <v>2012.8269487739997</v>
      </c>
      <c r="P20" s="10">
        <f t="shared" si="6"/>
        <v>1509.6202115804997</v>
      </c>
      <c r="Q20" s="10">
        <f t="shared" si="6"/>
        <v>1006.4134743869998</v>
      </c>
      <c r="R20" s="10">
        <f t="shared" si="6"/>
        <v>503.20673719349998</v>
      </c>
      <c r="S20" s="10">
        <f t="shared" si="6"/>
        <v>0</v>
      </c>
      <c r="T20" s="10">
        <f t="shared" si="6"/>
        <v>0</v>
      </c>
      <c r="U20" s="10">
        <f t="shared" si="6"/>
        <v>0</v>
      </c>
      <c r="V20" s="10">
        <f t="shared" si="6"/>
        <v>0</v>
      </c>
      <c r="W20" s="10">
        <f t="shared" si="6"/>
        <v>0</v>
      </c>
      <c r="X20" s="10">
        <f t="shared" si="6"/>
        <v>0</v>
      </c>
      <c r="Y20" s="10">
        <f t="shared" si="6"/>
        <v>0</v>
      </c>
      <c r="Z20" s="10">
        <f t="shared" si="6"/>
        <v>0</v>
      </c>
      <c r="AA20" s="10">
        <f t="shared" si="6"/>
        <v>0</v>
      </c>
      <c r="AB20" s="10">
        <f t="shared" si="6"/>
        <v>0</v>
      </c>
      <c r="AC20" s="10">
        <f t="shared" si="6"/>
        <v>0</v>
      </c>
      <c r="AD20" s="10">
        <f t="shared" si="6"/>
        <v>0</v>
      </c>
      <c r="AE20" s="10">
        <f t="shared" si="6"/>
        <v>0</v>
      </c>
      <c r="AF20" s="10">
        <f t="shared" si="6"/>
        <v>0</v>
      </c>
      <c r="AG20" s="10">
        <f t="shared" si="6"/>
        <v>0</v>
      </c>
      <c r="AH20" s="10">
        <f t="shared" si="6"/>
        <v>0</v>
      </c>
      <c r="AI20" s="10">
        <f t="shared" si="6"/>
        <v>0</v>
      </c>
      <c r="AJ20" s="10">
        <f t="shared" si="6"/>
        <v>0</v>
      </c>
      <c r="AK20" s="10">
        <f t="shared" si="6"/>
        <v>0</v>
      </c>
      <c r="AL20" s="10">
        <f t="shared" si="6"/>
        <v>0</v>
      </c>
    </row>
    <row r="21" spans="2:38" ht="18" customHeight="1">
      <c r="B21" s="11" t="s">
        <v>61</v>
      </c>
      <c r="C21" s="10">
        <f t="shared" si="4"/>
        <v>143917.12683734036</v>
      </c>
      <c r="D21" s="10"/>
      <c r="E21" s="10"/>
      <c r="F21" s="10">
        <f>-F45</f>
        <v>11070.548218256952</v>
      </c>
      <c r="G21" s="10">
        <f t="shared" ref="G21:AL21" si="7">-G45</f>
        <v>11070.548218256952</v>
      </c>
      <c r="H21" s="10">
        <f t="shared" si="7"/>
        <v>11070.548218256952</v>
      </c>
      <c r="I21" s="10">
        <f t="shared" si="7"/>
        <v>11070.548218256952</v>
      </c>
      <c r="J21" s="10">
        <f t="shared" si="7"/>
        <v>11070.548218256952</v>
      </c>
      <c r="K21" s="10">
        <f t="shared" si="7"/>
        <v>11070.548218256952</v>
      </c>
      <c r="L21" s="10">
        <f t="shared" si="7"/>
        <v>11070.548218256952</v>
      </c>
      <c r="M21" s="10">
        <f t="shared" si="7"/>
        <v>11070.548218256952</v>
      </c>
      <c r="N21" s="10">
        <f t="shared" si="7"/>
        <v>11070.548218256952</v>
      </c>
      <c r="O21" s="10">
        <f t="shared" si="7"/>
        <v>11070.548218256952</v>
      </c>
      <c r="P21" s="10">
        <f t="shared" si="7"/>
        <v>11070.548218256952</v>
      </c>
      <c r="Q21" s="10">
        <f t="shared" si="7"/>
        <v>11070.548218256952</v>
      </c>
      <c r="R21" s="10">
        <f t="shared" si="7"/>
        <v>11070.548218256952</v>
      </c>
      <c r="S21" s="10">
        <f t="shared" si="7"/>
        <v>0</v>
      </c>
      <c r="T21" s="10">
        <f t="shared" si="7"/>
        <v>0</v>
      </c>
      <c r="U21" s="10">
        <f t="shared" si="7"/>
        <v>0</v>
      </c>
      <c r="V21" s="10">
        <f t="shared" si="7"/>
        <v>0</v>
      </c>
      <c r="W21" s="10">
        <f t="shared" si="7"/>
        <v>0</v>
      </c>
      <c r="X21" s="10">
        <f t="shared" si="7"/>
        <v>0</v>
      </c>
      <c r="Y21" s="10">
        <f t="shared" si="7"/>
        <v>0</v>
      </c>
      <c r="Z21" s="10">
        <f t="shared" si="7"/>
        <v>0</v>
      </c>
      <c r="AA21" s="10">
        <f t="shared" si="7"/>
        <v>0</v>
      </c>
      <c r="AB21" s="10">
        <f t="shared" si="7"/>
        <v>0</v>
      </c>
      <c r="AC21" s="10">
        <f t="shared" si="7"/>
        <v>0</v>
      </c>
      <c r="AD21" s="10">
        <f t="shared" si="7"/>
        <v>0</v>
      </c>
      <c r="AE21" s="10">
        <f t="shared" si="7"/>
        <v>0</v>
      </c>
      <c r="AF21" s="10">
        <f t="shared" si="7"/>
        <v>0</v>
      </c>
      <c r="AG21" s="10">
        <f t="shared" si="7"/>
        <v>0</v>
      </c>
      <c r="AH21" s="10">
        <f t="shared" si="7"/>
        <v>0</v>
      </c>
      <c r="AI21" s="10">
        <f t="shared" si="7"/>
        <v>0</v>
      </c>
      <c r="AJ21" s="10">
        <f t="shared" si="7"/>
        <v>0</v>
      </c>
      <c r="AK21" s="10">
        <f t="shared" si="7"/>
        <v>0</v>
      </c>
      <c r="AL21" s="10">
        <f t="shared" si="7"/>
        <v>0</v>
      </c>
    </row>
    <row r="22" spans="2:38" s="23" customFormat="1" ht="28.15" customHeight="1">
      <c r="B22" s="44" t="s">
        <v>62</v>
      </c>
      <c r="C22" s="47">
        <f t="shared" si="4"/>
        <v>151923.97443455702</v>
      </c>
      <c r="D22" s="47">
        <f>D5+D11+D17</f>
        <v>23774.954416808643</v>
      </c>
      <c r="E22" s="47">
        <f t="shared" ref="E22:AG22" si="8">E5+E11+E17</f>
        <v>128149.02001774838</v>
      </c>
      <c r="F22" s="47">
        <f t="shared" si="8"/>
        <v>0</v>
      </c>
      <c r="G22" s="47">
        <f t="shared" si="8"/>
        <v>0</v>
      </c>
      <c r="H22" s="47">
        <f t="shared" si="8"/>
        <v>0</v>
      </c>
      <c r="I22" s="47">
        <f t="shared" si="8"/>
        <v>0</v>
      </c>
      <c r="J22" s="47">
        <f t="shared" si="8"/>
        <v>0</v>
      </c>
      <c r="K22" s="47">
        <f t="shared" si="8"/>
        <v>0</v>
      </c>
      <c r="L22" s="47">
        <f t="shared" si="8"/>
        <v>0</v>
      </c>
      <c r="M22" s="47">
        <f t="shared" si="8"/>
        <v>0</v>
      </c>
      <c r="N22" s="47">
        <f t="shared" si="8"/>
        <v>0</v>
      </c>
      <c r="O22" s="47">
        <f t="shared" si="8"/>
        <v>0</v>
      </c>
      <c r="P22" s="47">
        <f t="shared" si="8"/>
        <v>0</v>
      </c>
      <c r="Q22" s="47">
        <f t="shared" si="8"/>
        <v>0</v>
      </c>
      <c r="R22" s="47">
        <f t="shared" si="8"/>
        <v>0</v>
      </c>
      <c r="S22" s="47">
        <f t="shared" si="8"/>
        <v>0</v>
      </c>
      <c r="T22" s="47">
        <f t="shared" si="8"/>
        <v>0</v>
      </c>
      <c r="U22" s="47">
        <f t="shared" si="8"/>
        <v>0</v>
      </c>
      <c r="V22" s="47">
        <f t="shared" si="8"/>
        <v>0</v>
      </c>
      <c r="W22" s="47">
        <f t="shared" si="8"/>
        <v>0</v>
      </c>
      <c r="X22" s="47">
        <f t="shared" si="8"/>
        <v>0</v>
      </c>
      <c r="Y22" s="47">
        <f t="shared" si="8"/>
        <v>0</v>
      </c>
      <c r="Z22" s="47">
        <f t="shared" si="8"/>
        <v>0</v>
      </c>
      <c r="AA22" s="47">
        <f t="shared" si="8"/>
        <v>0</v>
      </c>
      <c r="AB22" s="47">
        <f t="shared" si="8"/>
        <v>0</v>
      </c>
      <c r="AC22" s="47">
        <f t="shared" si="8"/>
        <v>0</v>
      </c>
      <c r="AD22" s="47">
        <f t="shared" si="8"/>
        <v>0</v>
      </c>
      <c r="AE22" s="47">
        <f t="shared" si="8"/>
        <v>0</v>
      </c>
      <c r="AF22" s="47">
        <f t="shared" si="8"/>
        <v>0</v>
      </c>
      <c r="AG22" s="47">
        <f t="shared" si="8"/>
        <v>0</v>
      </c>
      <c r="AH22" s="47">
        <f t="shared" ref="AH22:AL23" si="9">AH5+AH11+AH17</f>
        <v>0</v>
      </c>
      <c r="AI22" s="47">
        <f t="shared" si="9"/>
        <v>0</v>
      </c>
      <c r="AJ22" s="47">
        <f t="shared" si="9"/>
        <v>0</v>
      </c>
      <c r="AK22" s="47">
        <f t="shared" si="9"/>
        <v>0</v>
      </c>
      <c r="AL22" s="47">
        <f t="shared" si="9"/>
        <v>0</v>
      </c>
    </row>
    <row r="23" spans="2:38" s="23" customFormat="1" ht="28.15" customHeight="1">
      <c r="B23" s="44" t="s">
        <v>63</v>
      </c>
      <c r="C23" s="47">
        <f t="shared" si="4"/>
        <v>0</v>
      </c>
      <c r="D23" s="47">
        <f>D6+D12+D18</f>
        <v>0</v>
      </c>
      <c r="E23" s="47">
        <f t="shared" ref="E23:AG23" si="10">E6+E12+E18</f>
        <v>0</v>
      </c>
      <c r="F23" s="47">
        <f t="shared" si="10"/>
        <v>0</v>
      </c>
      <c r="G23" s="47">
        <f t="shared" si="10"/>
        <v>0</v>
      </c>
      <c r="H23" s="47">
        <f t="shared" si="10"/>
        <v>0</v>
      </c>
      <c r="I23" s="47">
        <f t="shared" si="10"/>
        <v>0</v>
      </c>
      <c r="J23" s="47">
        <f t="shared" si="10"/>
        <v>0</v>
      </c>
      <c r="K23" s="47">
        <f t="shared" si="10"/>
        <v>0</v>
      </c>
      <c r="L23" s="47">
        <f t="shared" si="10"/>
        <v>0</v>
      </c>
      <c r="M23" s="47">
        <f t="shared" si="10"/>
        <v>0</v>
      </c>
      <c r="N23" s="47">
        <f t="shared" si="10"/>
        <v>0</v>
      </c>
      <c r="O23" s="47">
        <f t="shared" si="10"/>
        <v>0</v>
      </c>
      <c r="P23" s="47">
        <f t="shared" si="10"/>
        <v>0</v>
      </c>
      <c r="Q23" s="47">
        <f t="shared" si="10"/>
        <v>0</v>
      </c>
      <c r="R23" s="47">
        <f t="shared" si="10"/>
        <v>0</v>
      </c>
      <c r="S23" s="47">
        <f t="shared" si="10"/>
        <v>0</v>
      </c>
      <c r="T23" s="47">
        <f t="shared" si="10"/>
        <v>0</v>
      </c>
      <c r="U23" s="47">
        <f t="shared" si="10"/>
        <v>0</v>
      </c>
      <c r="V23" s="47">
        <f t="shared" si="10"/>
        <v>0</v>
      </c>
      <c r="W23" s="47">
        <f t="shared" si="10"/>
        <v>0</v>
      </c>
      <c r="X23" s="47">
        <f t="shared" si="10"/>
        <v>0</v>
      </c>
      <c r="Y23" s="47">
        <f t="shared" si="10"/>
        <v>0</v>
      </c>
      <c r="Z23" s="47">
        <f t="shared" si="10"/>
        <v>0</v>
      </c>
      <c r="AA23" s="47">
        <f t="shared" si="10"/>
        <v>0</v>
      </c>
      <c r="AB23" s="47">
        <f t="shared" si="10"/>
        <v>0</v>
      </c>
      <c r="AC23" s="47">
        <f t="shared" si="10"/>
        <v>0</v>
      </c>
      <c r="AD23" s="47">
        <f t="shared" si="10"/>
        <v>0</v>
      </c>
      <c r="AE23" s="47">
        <f t="shared" si="10"/>
        <v>0</v>
      </c>
      <c r="AF23" s="47">
        <f t="shared" si="10"/>
        <v>0</v>
      </c>
      <c r="AG23" s="47">
        <f t="shared" si="10"/>
        <v>0</v>
      </c>
      <c r="AH23" s="47">
        <f t="shared" si="9"/>
        <v>0</v>
      </c>
      <c r="AI23" s="47">
        <f t="shared" si="9"/>
        <v>0</v>
      </c>
      <c r="AJ23" s="47">
        <f t="shared" si="9"/>
        <v>0</v>
      </c>
      <c r="AK23" s="47">
        <f t="shared" si="9"/>
        <v>0</v>
      </c>
      <c r="AL23" s="47">
        <f t="shared" si="9"/>
        <v>0</v>
      </c>
    </row>
    <row r="24" spans="2:38" s="23" customFormat="1" ht="28.15" customHeight="1">
      <c r="B24" s="44" t="s">
        <v>64</v>
      </c>
      <c r="C24" s="47">
        <f t="shared" si="4"/>
        <v>204796.91819255662</v>
      </c>
      <c r="D24" s="47">
        <f>SUM(D25:D26)</f>
        <v>540.33987310928944</v>
      </c>
      <c r="E24" s="47">
        <f t="shared" ref="E24:AG24" si="11">SUM(E25:E26)</f>
        <v>3993.1574738946897</v>
      </c>
      <c r="F24" s="47">
        <f t="shared" si="11"/>
        <v>18592.094773459801</v>
      </c>
      <c r="G24" s="47">
        <f t="shared" si="11"/>
        <v>18060.892065646665</v>
      </c>
      <c r="H24" s="47">
        <f t="shared" si="11"/>
        <v>17529.689357833526</v>
      </c>
      <c r="I24" s="47">
        <f t="shared" si="11"/>
        <v>16998.486650020386</v>
      </c>
      <c r="J24" s="47">
        <f t="shared" si="11"/>
        <v>16467.28394220725</v>
      </c>
      <c r="K24" s="47">
        <f t="shared" si="11"/>
        <v>15936.081234394111</v>
      </c>
      <c r="L24" s="47">
        <f t="shared" si="11"/>
        <v>15404.878526580971</v>
      </c>
      <c r="M24" s="47">
        <f t="shared" si="11"/>
        <v>14873.675818767833</v>
      </c>
      <c r="N24" s="47">
        <f t="shared" si="11"/>
        <v>14342.473110954694</v>
      </c>
      <c r="O24" s="47">
        <f t="shared" si="11"/>
        <v>13811.270403141556</v>
      </c>
      <c r="P24" s="47">
        <f t="shared" si="11"/>
        <v>13280.067695328416</v>
      </c>
      <c r="Q24" s="47">
        <f t="shared" si="11"/>
        <v>12748.864987515279</v>
      </c>
      <c r="R24" s="47">
        <f t="shared" si="11"/>
        <v>12217.662279702141</v>
      </c>
      <c r="S24" s="47">
        <f t="shared" si="11"/>
        <v>-7.234616945921049E-14</v>
      </c>
      <c r="T24" s="47">
        <f t="shared" si="11"/>
        <v>-7.234616945921049E-14</v>
      </c>
      <c r="U24" s="47">
        <f t="shared" si="11"/>
        <v>-7.234616945921049E-14</v>
      </c>
      <c r="V24" s="47">
        <f t="shared" si="11"/>
        <v>-7.234616945921049E-14</v>
      </c>
      <c r="W24" s="47">
        <f t="shared" si="11"/>
        <v>-7.234616945921049E-14</v>
      </c>
      <c r="X24" s="47">
        <f t="shared" si="11"/>
        <v>-7.234616945921049E-14</v>
      </c>
      <c r="Y24" s="47">
        <f t="shared" si="11"/>
        <v>-7.234616945921049E-14</v>
      </c>
      <c r="Z24" s="47">
        <f t="shared" si="11"/>
        <v>-7.234616945921049E-14</v>
      </c>
      <c r="AA24" s="47">
        <f t="shared" si="11"/>
        <v>-7.234616945921049E-14</v>
      </c>
      <c r="AB24" s="47">
        <f t="shared" si="11"/>
        <v>-7.234616945921049E-14</v>
      </c>
      <c r="AC24" s="47">
        <f t="shared" si="11"/>
        <v>-7.234616945921049E-14</v>
      </c>
      <c r="AD24" s="47">
        <f t="shared" si="11"/>
        <v>-7.234616945921049E-14</v>
      </c>
      <c r="AE24" s="47">
        <f t="shared" si="11"/>
        <v>-7.234616945921049E-14</v>
      </c>
      <c r="AF24" s="47">
        <f t="shared" si="11"/>
        <v>-7.234616945921049E-14</v>
      </c>
      <c r="AG24" s="47">
        <f t="shared" si="11"/>
        <v>-7.234616945921049E-14</v>
      </c>
      <c r="AH24" s="47">
        <f>SUM(AH25:AH26)</f>
        <v>-7.234616945921049E-14</v>
      </c>
      <c r="AI24" s="47">
        <f>SUM(AI25:AI26)</f>
        <v>-7.234616945921049E-14</v>
      </c>
      <c r="AJ24" s="47">
        <f>SUM(AJ25:AJ26)</f>
        <v>-7.234616945921049E-14</v>
      </c>
      <c r="AK24" s="47">
        <f>SUM(AK25:AK26)</f>
        <v>-7.234616945921049E-14</v>
      </c>
      <c r="AL24" s="47">
        <f>SUM(AL25:AL26)</f>
        <v>-7.234616945921049E-14</v>
      </c>
    </row>
    <row r="25" spans="2:38" ht="18" customHeight="1">
      <c r="B25" s="8" t="s">
        <v>65</v>
      </c>
      <c r="C25" s="10">
        <f t="shared" si="4"/>
        <v>52872.943757999587</v>
      </c>
      <c r="D25" s="10">
        <f>D6+D8+D12+D14+D18+D20</f>
        <v>540.33987310928944</v>
      </c>
      <c r="E25" s="10">
        <f t="shared" ref="E25:AL25" si="12">E6+E8+E12+E14+E18+E20</f>
        <v>3993.1574738946897</v>
      </c>
      <c r="F25" s="10">
        <f t="shared" si="12"/>
        <v>6905.6352015708007</v>
      </c>
      <c r="G25" s="10">
        <f t="shared" si="12"/>
        <v>6374.432493757663</v>
      </c>
      <c r="H25" s="10">
        <f t="shared" si="12"/>
        <v>5843.2297859445243</v>
      </c>
      <c r="I25" s="10">
        <f t="shared" si="12"/>
        <v>5312.0270781313857</v>
      </c>
      <c r="J25" s="10">
        <f t="shared" si="12"/>
        <v>4780.824370318247</v>
      </c>
      <c r="K25" s="10">
        <f t="shared" si="12"/>
        <v>4249.6216625051093</v>
      </c>
      <c r="L25" s="10">
        <f t="shared" si="12"/>
        <v>3718.4189546919702</v>
      </c>
      <c r="M25" s="10">
        <f t="shared" si="12"/>
        <v>3187.2162468788315</v>
      </c>
      <c r="N25" s="10">
        <f t="shared" si="12"/>
        <v>2656.0135390656928</v>
      </c>
      <c r="O25" s="10">
        <f t="shared" si="12"/>
        <v>2124.8108312525546</v>
      </c>
      <c r="P25" s="10">
        <f t="shared" si="12"/>
        <v>1593.6081234394157</v>
      </c>
      <c r="Q25" s="10">
        <f t="shared" si="12"/>
        <v>1062.4054156262771</v>
      </c>
      <c r="R25" s="10">
        <f t="shared" si="12"/>
        <v>531.20270781313866</v>
      </c>
      <c r="S25" s="10">
        <f t="shared" si="12"/>
        <v>-7.234616945921049E-14</v>
      </c>
      <c r="T25" s="10">
        <f t="shared" si="12"/>
        <v>-7.234616945921049E-14</v>
      </c>
      <c r="U25" s="10">
        <f t="shared" si="12"/>
        <v>-7.234616945921049E-14</v>
      </c>
      <c r="V25" s="10">
        <f t="shared" si="12"/>
        <v>-7.234616945921049E-14</v>
      </c>
      <c r="W25" s="10">
        <f t="shared" si="12"/>
        <v>-7.234616945921049E-14</v>
      </c>
      <c r="X25" s="10">
        <f t="shared" si="12"/>
        <v>-7.234616945921049E-14</v>
      </c>
      <c r="Y25" s="10">
        <f t="shared" si="12"/>
        <v>-7.234616945921049E-14</v>
      </c>
      <c r="Z25" s="10">
        <f t="shared" si="12"/>
        <v>-7.234616945921049E-14</v>
      </c>
      <c r="AA25" s="10">
        <f t="shared" si="12"/>
        <v>-7.234616945921049E-14</v>
      </c>
      <c r="AB25" s="10">
        <f t="shared" si="12"/>
        <v>-7.234616945921049E-14</v>
      </c>
      <c r="AC25" s="10">
        <f t="shared" si="12"/>
        <v>-7.234616945921049E-14</v>
      </c>
      <c r="AD25" s="10">
        <f t="shared" si="12"/>
        <v>-7.234616945921049E-14</v>
      </c>
      <c r="AE25" s="10">
        <f t="shared" si="12"/>
        <v>-7.234616945921049E-14</v>
      </c>
      <c r="AF25" s="10">
        <f t="shared" si="12"/>
        <v>-7.234616945921049E-14</v>
      </c>
      <c r="AG25" s="10">
        <f t="shared" si="12"/>
        <v>-7.234616945921049E-14</v>
      </c>
      <c r="AH25" s="10">
        <f t="shared" si="12"/>
        <v>-7.234616945921049E-14</v>
      </c>
      <c r="AI25" s="10">
        <f t="shared" si="12"/>
        <v>-7.234616945921049E-14</v>
      </c>
      <c r="AJ25" s="10">
        <f t="shared" si="12"/>
        <v>-7.234616945921049E-14</v>
      </c>
      <c r="AK25" s="10">
        <f t="shared" si="12"/>
        <v>-7.234616945921049E-14</v>
      </c>
      <c r="AL25" s="10">
        <f t="shared" si="12"/>
        <v>-7.234616945921049E-14</v>
      </c>
    </row>
    <row r="26" spans="2:38" ht="18" customHeight="1">
      <c r="B26" s="8" t="s">
        <v>66</v>
      </c>
      <c r="C26" s="10">
        <f t="shared" si="4"/>
        <v>151923.97443455702</v>
      </c>
      <c r="D26" s="10">
        <f>D9+D15+D21</f>
        <v>0</v>
      </c>
      <c r="E26" s="10">
        <f t="shared" ref="E26:AG26" si="13">E9+E15+E21</f>
        <v>0</v>
      </c>
      <c r="F26" s="10">
        <f t="shared" si="13"/>
        <v>11686.459571889001</v>
      </c>
      <c r="G26" s="10">
        <f t="shared" si="13"/>
        <v>11686.459571889001</v>
      </c>
      <c r="H26" s="10">
        <f t="shared" si="13"/>
        <v>11686.459571889001</v>
      </c>
      <c r="I26" s="10">
        <f t="shared" si="13"/>
        <v>11686.459571889001</v>
      </c>
      <c r="J26" s="10">
        <f t="shared" si="13"/>
        <v>11686.459571889001</v>
      </c>
      <c r="K26" s="10">
        <f t="shared" si="13"/>
        <v>11686.459571889001</v>
      </c>
      <c r="L26" s="10">
        <f t="shared" si="13"/>
        <v>11686.459571889001</v>
      </c>
      <c r="M26" s="10">
        <f t="shared" si="13"/>
        <v>11686.459571889001</v>
      </c>
      <c r="N26" s="10">
        <f t="shared" si="13"/>
        <v>11686.459571889001</v>
      </c>
      <c r="O26" s="10">
        <f t="shared" si="13"/>
        <v>11686.459571889001</v>
      </c>
      <c r="P26" s="10">
        <f t="shared" si="13"/>
        <v>11686.459571889001</v>
      </c>
      <c r="Q26" s="10">
        <f t="shared" si="13"/>
        <v>11686.459571889001</v>
      </c>
      <c r="R26" s="10">
        <f t="shared" si="13"/>
        <v>11686.459571889001</v>
      </c>
      <c r="S26" s="10">
        <f t="shared" si="13"/>
        <v>0</v>
      </c>
      <c r="T26" s="10">
        <f t="shared" si="13"/>
        <v>0</v>
      </c>
      <c r="U26" s="10">
        <f t="shared" si="13"/>
        <v>0</v>
      </c>
      <c r="V26" s="10">
        <f t="shared" si="13"/>
        <v>0</v>
      </c>
      <c r="W26" s="10">
        <f t="shared" si="13"/>
        <v>0</v>
      </c>
      <c r="X26" s="10">
        <f t="shared" si="13"/>
        <v>0</v>
      </c>
      <c r="Y26" s="10">
        <f t="shared" si="13"/>
        <v>0</v>
      </c>
      <c r="Z26" s="10">
        <f t="shared" si="13"/>
        <v>0</v>
      </c>
      <c r="AA26" s="10">
        <f t="shared" si="13"/>
        <v>0</v>
      </c>
      <c r="AB26" s="10">
        <f t="shared" si="13"/>
        <v>0</v>
      </c>
      <c r="AC26" s="10">
        <f t="shared" si="13"/>
        <v>0</v>
      </c>
      <c r="AD26" s="10">
        <f t="shared" si="13"/>
        <v>0</v>
      </c>
      <c r="AE26" s="10">
        <f t="shared" si="13"/>
        <v>0</v>
      </c>
      <c r="AF26" s="10">
        <f t="shared" si="13"/>
        <v>0</v>
      </c>
      <c r="AG26" s="10">
        <f t="shared" si="13"/>
        <v>0</v>
      </c>
      <c r="AH26" s="10">
        <f>AH9+AH15+AH21</f>
        <v>0</v>
      </c>
      <c r="AI26" s="10">
        <f>AI9+AI15+AI21</f>
        <v>0</v>
      </c>
      <c r="AJ26" s="10">
        <f>AJ9+AJ15+AJ21</f>
        <v>0</v>
      </c>
      <c r="AK26" s="10">
        <f>AK9+AK15+AK21</f>
        <v>0</v>
      </c>
      <c r="AL26" s="10">
        <f>AL9+AL15+AL21</f>
        <v>0</v>
      </c>
    </row>
    <row r="28" spans="2:38">
      <c r="B28" s="81" t="s">
        <v>298</v>
      </c>
      <c r="C28" s="147">
        <f>(1+(50%*8.5%+50%*10%))/(1+4.5%)-1</f>
        <v>4.5454545454545636E-2</v>
      </c>
    </row>
    <row r="29" spans="2:38">
      <c r="B29" s="81" t="s">
        <v>305</v>
      </c>
      <c r="C29" s="86">
        <v>13</v>
      </c>
    </row>
    <row r="30" spans="2:38">
      <c r="B30" s="81" t="s">
        <v>306</v>
      </c>
      <c r="C30" s="86">
        <v>2</v>
      </c>
    </row>
    <row r="32" spans="2:38">
      <c r="B32" s="84" t="str">
        <f>B4</f>
        <v>1. EQUIPAMENTOS</v>
      </c>
    </row>
    <row r="33" spans="2:38">
      <c r="B33" s="8" t="s">
        <v>299</v>
      </c>
      <c r="C33" s="83"/>
      <c r="D33" s="82">
        <v>0</v>
      </c>
      <c r="E33" s="82">
        <f>D38</f>
        <v>2815.1365276545243</v>
      </c>
      <c r="F33" s="82">
        <f t="shared" ref="F33:AL33" si="14">E38</f>
        <v>8006.847597216638</v>
      </c>
      <c r="G33" s="82">
        <f t="shared" si="14"/>
        <v>7390.9362435845887</v>
      </c>
      <c r="H33" s="82">
        <f t="shared" si="14"/>
        <v>6775.0248899525395</v>
      </c>
      <c r="I33" s="82">
        <f t="shared" si="14"/>
        <v>6159.1135363204903</v>
      </c>
      <c r="J33" s="82">
        <f t="shared" si="14"/>
        <v>5543.2021826884411</v>
      </c>
      <c r="K33" s="82">
        <f t="shared" si="14"/>
        <v>4927.2908290563919</v>
      </c>
      <c r="L33" s="82">
        <f t="shared" si="14"/>
        <v>4311.3794754243427</v>
      </c>
      <c r="M33" s="82">
        <f t="shared" si="14"/>
        <v>3695.4681217922935</v>
      </c>
      <c r="N33" s="82">
        <f t="shared" si="14"/>
        <v>3079.5567681602442</v>
      </c>
      <c r="O33" s="82">
        <f t="shared" si="14"/>
        <v>2463.645414528195</v>
      </c>
      <c r="P33" s="82">
        <f t="shared" si="14"/>
        <v>1847.7340608961458</v>
      </c>
      <c r="Q33" s="82">
        <f t="shared" si="14"/>
        <v>1231.8227072640966</v>
      </c>
      <c r="R33" s="82">
        <f t="shared" si="14"/>
        <v>615.91135363204751</v>
      </c>
      <c r="S33" s="82">
        <f t="shared" si="14"/>
        <v>-1.5916157281026244E-12</v>
      </c>
      <c r="T33" s="82">
        <f t="shared" si="14"/>
        <v>-1.5916157281026244E-12</v>
      </c>
      <c r="U33" s="82">
        <f t="shared" si="14"/>
        <v>-1.5916157281026244E-12</v>
      </c>
      <c r="V33" s="82">
        <f t="shared" si="14"/>
        <v>-1.5916157281026244E-12</v>
      </c>
      <c r="W33" s="82">
        <f t="shared" si="14"/>
        <v>-1.5916157281026244E-12</v>
      </c>
      <c r="X33" s="82">
        <f t="shared" si="14"/>
        <v>-1.5916157281026244E-12</v>
      </c>
      <c r="Y33" s="82">
        <f t="shared" si="14"/>
        <v>-1.5916157281026244E-12</v>
      </c>
      <c r="Z33" s="82">
        <f t="shared" si="14"/>
        <v>-1.5916157281026244E-12</v>
      </c>
      <c r="AA33" s="82">
        <f t="shared" si="14"/>
        <v>-1.5916157281026244E-12</v>
      </c>
      <c r="AB33" s="82">
        <f t="shared" si="14"/>
        <v>-1.5916157281026244E-12</v>
      </c>
      <c r="AC33" s="82">
        <f t="shared" si="14"/>
        <v>-1.5916157281026244E-12</v>
      </c>
      <c r="AD33" s="82">
        <f t="shared" si="14"/>
        <v>-1.5916157281026244E-12</v>
      </c>
      <c r="AE33" s="82">
        <f t="shared" si="14"/>
        <v>-1.5916157281026244E-12</v>
      </c>
      <c r="AF33" s="82">
        <f t="shared" si="14"/>
        <v>-1.5916157281026244E-12</v>
      </c>
      <c r="AG33" s="82">
        <f t="shared" si="14"/>
        <v>-1.5916157281026244E-12</v>
      </c>
      <c r="AH33" s="82">
        <f t="shared" si="14"/>
        <v>-1.5916157281026244E-12</v>
      </c>
      <c r="AI33" s="82">
        <f t="shared" si="14"/>
        <v>-1.5916157281026244E-12</v>
      </c>
      <c r="AJ33" s="82">
        <f t="shared" si="14"/>
        <v>-1.5916157281026244E-12</v>
      </c>
      <c r="AK33" s="82">
        <f t="shared" si="14"/>
        <v>-1.5916157281026244E-12</v>
      </c>
      <c r="AL33" s="82">
        <f t="shared" si="14"/>
        <v>-1.5916157281026244E-12</v>
      </c>
    </row>
    <row r="34" spans="2:38">
      <c r="B34" s="11" t="s">
        <v>300</v>
      </c>
      <c r="C34" s="83">
        <f>SUM(D34:AL34)</f>
        <v>8006.847597216638</v>
      </c>
      <c r="D34" s="82">
        <f>D$5</f>
        <v>2815.1365276545243</v>
      </c>
      <c r="E34" s="82">
        <f t="shared" ref="E34:AL34" si="15">E$5</f>
        <v>5191.7110695621132</v>
      </c>
      <c r="F34" s="82">
        <f t="shared" si="15"/>
        <v>0</v>
      </c>
      <c r="G34" s="82">
        <f t="shared" si="15"/>
        <v>0</v>
      </c>
      <c r="H34" s="82">
        <f t="shared" si="15"/>
        <v>0</v>
      </c>
      <c r="I34" s="82">
        <f t="shared" si="15"/>
        <v>0</v>
      </c>
      <c r="J34" s="82">
        <f t="shared" si="15"/>
        <v>0</v>
      </c>
      <c r="K34" s="82">
        <f t="shared" si="15"/>
        <v>0</v>
      </c>
      <c r="L34" s="82">
        <f t="shared" si="15"/>
        <v>0</v>
      </c>
      <c r="M34" s="82">
        <f t="shared" si="15"/>
        <v>0</v>
      </c>
      <c r="N34" s="82">
        <f t="shared" si="15"/>
        <v>0</v>
      </c>
      <c r="O34" s="82">
        <f t="shared" si="15"/>
        <v>0</v>
      </c>
      <c r="P34" s="82">
        <f t="shared" si="15"/>
        <v>0</v>
      </c>
      <c r="Q34" s="82">
        <f t="shared" si="15"/>
        <v>0</v>
      </c>
      <c r="R34" s="82">
        <f t="shared" si="15"/>
        <v>0</v>
      </c>
      <c r="S34" s="82">
        <f t="shared" si="15"/>
        <v>0</v>
      </c>
      <c r="T34" s="82">
        <f t="shared" si="15"/>
        <v>0</v>
      </c>
      <c r="U34" s="82">
        <f t="shared" si="15"/>
        <v>0</v>
      </c>
      <c r="V34" s="82">
        <f t="shared" si="15"/>
        <v>0</v>
      </c>
      <c r="W34" s="82">
        <f t="shared" si="15"/>
        <v>0</v>
      </c>
      <c r="X34" s="82">
        <f t="shared" si="15"/>
        <v>0</v>
      </c>
      <c r="Y34" s="82">
        <f t="shared" si="15"/>
        <v>0</v>
      </c>
      <c r="Z34" s="82">
        <f t="shared" si="15"/>
        <v>0</v>
      </c>
      <c r="AA34" s="82">
        <f t="shared" si="15"/>
        <v>0</v>
      </c>
      <c r="AB34" s="82">
        <f t="shared" si="15"/>
        <v>0</v>
      </c>
      <c r="AC34" s="82">
        <f t="shared" si="15"/>
        <v>0</v>
      </c>
      <c r="AD34" s="82">
        <f t="shared" si="15"/>
        <v>0</v>
      </c>
      <c r="AE34" s="82">
        <f t="shared" si="15"/>
        <v>0</v>
      </c>
      <c r="AF34" s="82">
        <f t="shared" si="15"/>
        <v>0</v>
      </c>
      <c r="AG34" s="82">
        <f t="shared" si="15"/>
        <v>0</v>
      </c>
      <c r="AH34" s="82">
        <f t="shared" si="15"/>
        <v>0</v>
      </c>
      <c r="AI34" s="82">
        <f t="shared" si="15"/>
        <v>0</v>
      </c>
      <c r="AJ34" s="82">
        <f t="shared" si="15"/>
        <v>0</v>
      </c>
      <c r="AK34" s="82">
        <f t="shared" si="15"/>
        <v>0</v>
      </c>
      <c r="AL34" s="82">
        <f t="shared" si="15"/>
        <v>0</v>
      </c>
    </row>
    <row r="35" spans="2:38">
      <c r="B35" s="11" t="s">
        <v>301</v>
      </c>
      <c r="C35" s="83">
        <f>SUM(D35:AL35)</f>
        <v>2857.5678866717976</v>
      </c>
      <c r="D35" s="82">
        <f t="shared" ref="D35:AL35" si="16">(D33+D34/2)*$C$28</f>
        <v>63.980375628512171</v>
      </c>
      <c r="E35" s="82">
        <f t="shared" si="16"/>
        <v>245.95418465616376</v>
      </c>
      <c r="F35" s="82">
        <f t="shared" si="16"/>
        <v>363.94761805530317</v>
      </c>
      <c r="G35" s="82">
        <f t="shared" si="16"/>
        <v>335.95164743566448</v>
      </c>
      <c r="H35" s="82">
        <f t="shared" si="16"/>
        <v>307.95567681602574</v>
      </c>
      <c r="I35" s="82">
        <f t="shared" si="16"/>
        <v>279.95970619638706</v>
      </c>
      <c r="J35" s="82">
        <f t="shared" si="16"/>
        <v>251.96373557674832</v>
      </c>
      <c r="K35" s="82">
        <f t="shared" si="16"/>
        <v>223.96776495710961</v>
      </c>
      <c r="L35" s="82">
        <f t="shared" si="16"/>
        <v>195.9717943374709</v>
      </c>
      <c r="M35" s="82">
        <f t="shared" si="16"/>
        <v>167.97582371783218</v>
      </c>
      <c r="N35" s="82">
        <f t="shared" si="16"/>
        <v>139.97985309819347</v>
      </c>
      <c r="O35" s="82">
        <f t="shared" si="16"/>
        <v>111.98388247855476</v>
      </c>
      <c r="P35" s="82">
        <f t="shared" si="16"/>
        <v>83.98791185891605</v>
      </c>
      <c r="Q35" s="82">
        <f t="shared" si="16"/>
        <v>55.991941239277345</v>
      </c>
      <c r="R35" s="82">
        <f t="shared" si="16"/>
        <v>27.995970619638634</v>
      </c>
      <c r="S35" s="82">
        <f t="shared" si="16"/>
        <v>-7.234616945921049E-14</v>
      </c>
      <c r="T35" s="82">
        <f t="shared" si="16"/>
        <v>-7.234616945921049E-14</v>
      </c>
      <c r="U35" s="82">
        <f t="shared" si="16"/>
        <v>-7.234616945921049E-14</v>
      </c>
      <c r="V35" s="82">
        <f t="shared" si="16"/>
        <v>-7.234616945921049E-14</v>
      </c>
      <c r="W35" s="82">
        <f t="shared" si="16"/>
        <v>-7.234616945921049E-14</v>
      </c>
      <c r="X35" s="82">
        <f t="shared" si="16"/>
        <v>-7.234616945921049E-14</v>
      </c>
      <c r="Y35" s="82">
        <f t="shared" si="16"/>
        <v>-7.234616945921049E-14</v>
      </c>
      <c r="Z35" s="82">
        <f t="shared" si="16"/>
        <v>-7.234616945921049E-14</v>
      </c>
      <c r="AA35" s="82">
        <f t="shared" si="16"/>
        <v>-7.234616945921049E-14</v>
      </c>
      <c r="AB35" s="82">
        <f t="shared" si="16"/>
        <v>-7.234616945921049E-14</v>
      </c>
      <c r="AC35" s="82">
        <f t="shared" si="16"/>
        <v>-7.234616945921049E-14</v>
      </c>
      <c r="AD35" s="82">
        <f t="shared" si="16"/>
        <v>-7.234616945921049E-14</v>
      </c>
      <c r="AE35" s="82">
        <f t="shared" si="16"/>
        <v>-7.234616945921049E-14</v>
      </c>
      <c r="AF35" s="82">
        <f t="shared" si="16"/>
        <v>-7.234616945921049E-14</v>
      </c>
      <c r="AG35" s="82">
        <f t="shared" si="16"/>
        <v>-7.234616945921049E-14</v>
      </c>
      <c r="AH35" s="82">
        <f t="shared" si="16"/>
        <v>-7.234616945921049E-14</v>
      </c>
      <c r="AI35" s="82">
        <f t="shared" si="16"/>
        <v>-7.234616945921049E-14</v>
      </c>
      <c r="AJ35" s="82">
        <f t="shared" si="16"/>
        <v>-7.234616945921049E-14</v>
      </c>
      <c r="AK35" s="82">
        <f t="shared" si="16"/>
        <v>-7.234616945921049E-14</v>
      </c>
      <c r="AL35" s="82">
        <f t="shared" si="16"/>
        <v>-7.234616945921049E-14</v>
      </c>
    </row>
    <row r="36" spans="2:38">
      <c r="B36" s="11" t="s">
        <v>303</v>
      </c>
      <c r="C36" s="83">
        <f>SUM(D36:AL36)</f>
        <v>-2857.5678866717976</v>
      </c>
      <c r="D36" s="82">
        <f t="shared" ref="D36:I36" si="17">-D35</f>
        <v>-63.980375628512171</v>
      </c>
      <c r="E36" s="82">
        <f t="shared" si="17"/>
        <v>-245.95418465616376</v>
      </c>
      <c r="F36" s="82">
        <f t="shared" si="17"/>
        <v>-363.94761805530317</v>
      </c>
      <c r="G36" s="82">
        <f t="shared" si="17"/>
        <v>-335.95164743566448</v>
      </c>
      <c r="H36" s="82">
        <f t="shared" si="17"/>
        <v>-307.95567681602574</v>
      </c>
      <c r="I36" s="82">
        <f t="shared" si="17"/>
        <v>-279.95970619638706</v>
      </c>
      <c r="J36" s="82">
        <f t="shared" ref="J36:AL36" si="18">-J35</f>
        <v>-251.96373557674832</v>
      </c>
      <c r="K36" s="82">
        <f t="shared" si="18"/>
        <v>-223.96776495710961</v>
      </c>
      <c r="L36" s="82">
        <f t="shared" si="18"/>
        <v>-195.9717943374709</v>
      </c>
      <c r="M36" s="82">
        <f t="shared" si="18"/>
        <v>-167.97582371783218</v>
      </c>
      <c r="N36" s="82">
        <f t="shared" si="18"/>
        <v>-139.97985309819347</v>
      </c>
      <c r="O36" s="82">
        <f t="shared" si="18"/>
        <v>-111.98388247855476</v>
      </c>
      <c r="P36" s="82">
        <f t="shared" si="18"/>
        <v>-83.98791185891605</v>
      </c>
      <c r="Q36" s="82">
        <f t="shared" si="18"/>
        <v>-55.991941239277345</v>
      </c>
      <c r="R36" s="82">
        <f t="shared" si="18"/>
        <v>-27.995970619638634</v>
      </c>
      <c r="S36" s="82">
        <f t="shared" si="18"/>
        <v>7.234616945921049E-14</v>
      </c>
      <c r="T36" s="82">
        <f t="shared" si="18"/>
        <v>7.234616945921049E-14</v>
      </c>
      <c r="U36" s="82">
        <f t="shared" si="18"/>
        <v>7.234616945921049E-14</v>
      </c>
      <c r="V36" s="82">
        <f t="shared" si="18"/>
        <v>7.234616945921049E-14</v>
      </c>
      <c r="W36" s="82">
        <f t="shared" si="18"/>
        <v>7.234616945921049E-14</v>
      </c>
      <c r="X36" s="82">
        <f t="shared" si="18"/>
        <v>7.234616945921049E-14</v>
      </c>
      <c r="Y36" s="82">
        <f t="shared" si="18"/>
        <v>7.234616945921049E-14</v>
      </c>
      <c r="Z36" s="82">
        <f t="shared" si="18"/>
        <v>7.234616945921049E-14</v>
      </c>
      <c r="AA36" s="82">
        <f t="shared" si="18"/>
        <v>7.234616945921049E-14</v>
      </c>
      <c r="AB36" s="82">
        <f t="shared" si="18"/>
        <v>7.234616945921049E-14</v>
      </c>
      <c r="AC36" s="82">
        <f t="shared" si="18"/>
        <v>7.234616945921049E-14</v>
      </c>
      <c r="AD36" s="82">
        <f t="shared" si="18"/>
        <v>7.234616945921049E-14</v>
      </c>
      <c r="AE36" s="82">
        <f t="shared" si="18"/>
        <v>7.234616945921049E-14</v>
      </c>
      <c r="AF36" s="82">
        <f t="shared" si="18"/>
        <v>7.234616945921049E-14</v>
      </c>
      <c r="AG36" s="82">
        <f t="shared" si="18"/>
        <v>7.234616945921049E-14</v>
      </c>
      <c r="AH36" s="82">
        <f t="shared" si="18"/>
        <v>7.234616945921049E-14</v>
      </c>
      <c r="AI36" s="82">
        <f t="shared" si="18"/>
        <v>7.234616945921049E-14</v>
      </c>
      <c r="AJ36" s="82">
        <f t="shared" si="18"/>
        <v>7.234616945921049E-14</v>
      </c>
      <c r="AK36" s="82">
        <f t="shared" si="18"/>
        <v>7.234616945921049E-14</v>
      </c>
      <c r="AL36" s="82">
        <f t="shared" si="18"/>
        <v>7.234616945921049E-14</v>
      </c>
    </row>
    <row r="37" spans="2:38">
      <c r="B37" s="11" t="s">
        <v>302</v>
      </c>
      <c r="C37" s="83">
        <f>SUM(D37:AL37)</f>
        <v>-8006.8475972166389</v>
      </c>
      <c r="D37" s="82">
        <f t="shared" ref="D37:AL37" si="19">IF(AND(D$3&gt;$C$30,D$3&lt;=($C$29+$C$30)),-$C34/$C$29,0)</f>
        <v>0</v>
      </c>
      <c r="E37" s="82">
        <f t="shared" si="19"/>
        <v>0</v>
      </c>
      <c r="F37" s="82">
        <f t="shared" si="19"/>
        <v>-615.9113536320491</v>
      </c>
      <c r="G37" s="82">
        <f t="shared" si="19"/>
        <v>-615.9113536320491</v>
      </c>
      <c r="H37" s="82">
        <f t="shared" si="19"/>
        <v>-615.9113536320491</v>
      </c>
      <c r="I37" s="82">
        <f t="shared" si="19"/>
        <v>-615.9113536320491</v>
      </c>
      <c r="J37" s="82">
        <f t="shared" si="19"/>
        <v>-615.9113536320491</v>
      </c>
      <c r="K37" s="82">
        <f t="shared" si="19"/>
        <v>-615.9113536320491</v>
      </c>
      <c r="L37" s="82">
        <f t="shared" si="19"/>
        <v>-615.9113536320491</v>
      </c>
      <c r="M37" s="82">
        <f t="shared" si="19"/>
        <v>-615.9113536320491</v>
      </c>
      <c r="N37" s="82">
        <f t="shared" si="19"/>
        <v>-615.9113536320491</v>
      </c>
      <c r="O37" s="82">
        <f t="shared" si="19"/>
        <v>-615.9113536320491</v>
      </c>
      <c r="P37" s="82">
        <f t="shared" si="19"/>
        <v>-615.9113536320491</v>
      </c>
      <c r="Q37" s="82">
        <f t="shared" si="19"/>
        <v>-615.9113536320491</v>
      </c>
      <c r="R37" s="82">
        <f t="shared" si="19"/>
        <v>-615.9113536320491</v>
      </c>
      <c r="S37" s="82">
        <f t="shared" si="19"/>
        <v>0</v>
      </c>
      <c r="T37" s="82">
        <f t="shared" si="19"/>
        <v>0</v>
      </c>
      <c r="U37" s="82">
        <f t="shared" si="19"/>
        <v>0</v>
      </c>
      <c r="V37" s="82">
        <f t="shared" si="19"/>
        <v>0</v>
      </c>
      <c r="W37" s="82">
        <f t="shared" si="19"/>
        <v>0</v>
      </c>
      <c r="X37" s="82">
        <f t="shared" si="19"/>
        <v>0</v>
      </c>
      <c r="Y37" s="82">
        <f t="shared" si="19"/>
        <v>0</v>
      </c>
      <c r="Z37" s="82">
        <f t="shared" si="19"/>
        <v>0</v>
      </c>
      <c r="AA37" s="82">
        <f t="shared" si="19"/>
        <v>0</v>
      </c>
      <c r="AB37" s="82">
        <f t="shared" si="19"/>
        <v>0</v>
      </c>
      <c r="AC37" s="82">
        <f t="shared" si="19"/>
        <v>0</v>
      </c>
      <c r="AD37" s="82">
        <f t="shared" si="19"/>
        <v>0</v>
      </c>
      <c r="AE37" s="82">
        <f t="shared" si="19"/>
        <v>0</v>
      </c>
      <c r="AF37" s="82">
        <f t="shared" si="19"/>
        <v>0</v>
      </c>
      <c r="AG37" s="82">
        <f t="shared" si="19"/>
        <v>0</v>
      </c>
      <c r="AH37" s="82">
        <f t="shared" si="19"/>
        <v>0</v>
      </c>
      <c r="AI37" s="82">
        <f t="shared" si="19"/>
        <v>0</v>
      </c>
      <c r="AJ37" s="82">
        <f t="shared" si="19"/>
        <v>0</v>
      </c>
      <c r="AK37" s="82">
        <f t="shared" si="19"/>
        <v>0</v>
      </c>
      <c r="AL37" s="82">
        <f t="shared" si="19"/>
        <v>0</v>
      </c>
    </row>
    <row r="38" spans="2:38">
      <c r="B38" s="8" t="s">
        <v>304</v>
      </c>
      <c r="C38" s="83"/>
      <c r="D38" s="82">
        <f>SUM(D33:D37)</f>
        <v>2815.1365276545243</v>
      </c>
      <c r="E38" s="82">
        <f>SUM(E33:E37)</f>
        <v>8006.847597216638</v>
      </c>
      <c r="F38" s="82">
        <f t="shared" ref="F38:AL38" si="20">SUM(F33:F37)</f>
        <v>7390.9362435845887</v>
      </c>
      <c r="G38" s="82">
        <f t="shared" si="20"/>
        <v>6775.0248899525395</v>
      </c>
      <c r="H38" s="82">
        <f t="shared" si="20"/>
        <v>6159.1135363204903</v>
      </c>
      <c r="I38" s="82">
        <f t="shared" si="20"/>
        <v>5543.2021826884411</v>
      </c>
      <c r="J38" s="82">
        <f t="shared" si="20"/>
        <v>4927.2908290563919</v>
      </c>
      <c r="K38" s="82">
        <f t="shared" si="20"/>
        <v>4311.3794754243427</v>
      </c>
      <c r="L38" s="82">
        <f t="shared" si="20"/>
        <v>3695.4681217922935</v>
      </c>
      <c r="M38" s="82">
        <f t="shared" si="20"/>
        <v>3079.5567681602442</v>
      </c>
      <c r="N38" s="82">
        <f t="shared" si="20"/>
        <v>2463.645414528195</v>
      </c>
      <c r="O38" s="82">
        <f t="shared" si="20"/>
        <v>1847.7340608961458</v>
      </c>
      <c r="P38" s="82">
        <f t="shared" si="20"/>
        <v>1231.8227072640966</v>
      </c>
      <c r="Q38" s="82">
        <f t="shared" si="20"/>
        <v>615.91135363204751</v>
      </c>
      <c r="R38" s="82">
        <f t="shared" si="20"/>
        <v>-1.5916157281026244E-12</v>
      </c>
      <c r="S38" s="82">
        <f t="shared" si="20"/>
        <v>-1.5916157281026244E-12</v>
      </c>
      <c r="T38" s="82">
        <f t="shared" si="20"/>
        <v>-1.5916157281026244E-12</v>
      </c>
      <c r="U38" s="82">
        <f t="shared" si="20"/>
        <v>-1.5916157281026244E-12</v>
      </c>
      <c r="V38" s="82">
        <f t="shared" si="20"/>
        <v>-1.5916157281026244E-12</v>
      </c>
      <c r="W38" s="82">
        <f t="shared" si="20"/>
        <v>-1.5916157281026244E-12</v>
      </c>
      <c r="X38" s="82">
        <f t="shared" si="20"/>
        <v>-1.5916157281026244E-12</v>
      </c>
      <c r="Y38" s="82">
        <f t="shared" si="20"/>
        <v>-1.5916157281026244E-12</v>
      </c>
      <c r="Z38" s="82">
        <f t="shared" si="20"/>
        <v>-1.5916157281026244E-12</v>
      </c>
      <c r="AA38" s="82">
        <f t="shared" si="20"/>
        <v>-1.5916157281026244E-12</v>
      </c>
      <c r="AB38" s="82">
        <f t="shared" si="20"/>
        <v>-1.5916157281026244E-12</v>
      </c>
      <c r="AC38" s="82">
        <f t="shared" si="20"/>
        <v>-1.5916157281026244E-12</v>
      </c>
      <c r="AD38" s="82">
        <f t="shared" si="20"/>
        <v>-1.5916157281026244E-12</v>
      </c>
      <c r="AE38" s="82">
        <f t="shared" si="20"/>
        <v>-1.5916157281026244E-12</v>
      </c>
      <c r="AF38" s="82">
        <f t="shared" si="20"/>
        <v>-1.5916157281026244E-12</v>
      </c>
      <c r="AG38" s="82">
        <f t="shared" si="20"/>
        <v>-1.5916157281026244E-12</v>
      </c>
      <c r="AH38" s="82">
        <f t="shared" si="20"/>
        <v>-1.5916157281026244E-12</v>
      </c>
      <c r="AI38" s="82">
        <f t="shared" si="20"/>
        <v>-1.5916157281026244E-12</v>
      </c>
      <c r="AJ38" s="82">
        <f t="shared" si="20"/>
        <v>-1.5916157281026244E-12</v>
      </c>
      <c r="AK38" s="82">
        <f t="shared" si="20"/>
        <v>-1.5916157281026244E-12</v>
      </c>
      <c r="AL38" s="82">
        <f t="shared" si="20"/>
        <v>-1.5916157281026244E-12</v>
      </c>
    </row>
    <row r="40" spans="2:38">
      <c r="B40" s="84" t="str">
        <f>B16</f>
        <v>3. OBRAS CIVIS</v>
      </c>
    </row>
    <row r="41" spans="2:38">
      <c r="B41" s="8" t="s">
        <v>299</v>
      </c>
      <c r="C41" s="83"/>
      <c r="D41" s="82">
        <v>0</v>
      </c>
      <c r="E41" s="82">
        <f>D46</f>
        <v>20959.817889154117</v>
      </c>
      <c r="F41" s="82">
        <f t="shared" ref="F41:AL41" si="21">E46</f>
        <v>143917.12683734039</v>
      </c>
      <c r="G41" s="82">
        <f t="shared" si="21"/>
        <v>132846.57861908345</v>
      </c>
      <c r="H41" s="82">
        <f t="shared" si="21"/>
        <v>121776.03040082649</v>
      </c>
      <c r="I41" s="82">
        <f t="shared" si="21"/>
        <v>110705.48218256954</v>
      </c>
      <c r="J41" s="82">
        <f t="shared" si="21"/>
        <v>99634.933964312586</v>
      </c>
      <c r="K41" s="82">
        <f t="shared" si="21"/>
        <v>88564.385746055632</v>
      </c>
      <c r="L41" s="82">
        <f t="shared" si="21"/>
        <v>77493.837527798678</v>
      </c>
      <c r="M41" s="82">
        <f t="shared" si="21"/>
        <v>66423.289309541724</v>
      </c>
      <c r="N41" s="82">
        <f t="shared" si="21"/>
        <v>55352.74109128477</v>
      </c>
      <c r="O41" s="82">
        <f t="shared" si="21"/>
        <v>44282.192873027816</v>
      </c>
      <c r="P41" s="82">
        <f t="shared" si="21"/>
        <v>33211.644654770862</v>
      </c>
      <c r="Q41" s="82">
        <f t="shared" si="21"/>
        <v>22141.096436513908</v>
      </c>
      <c r="R41" s="82">
        <f t="shared" si="21"/>
        <v>11070.548218256956</v>
      </c>
      <c r="S41" s="82">
        <f t="shared" si="21"/>
        <v>0</v>
      </c>
      <c r="T41" s="82">
        <f t="shared" si="21"/>
        <v>0</v>
      </c>
      <c r="U41" s="82">
        <f t="shared" si="21"/>
        <v>0</v>
      </c>
      <c r="V41" s="82">
        <f t="shared" si="21"/>
        <v>0</v>
      </c>
      <c r="W41" s="82">
        <f t="shared" si="21"/>
        <v>0</v>
      </c>
      <c r="X41" s="82">
        <f t="shared" si="21"/>
        <v>0</v>
      </c>
      <c r="Y41" s="82">
        <f t="shared" si="21"/>
        <v>0</v>
      </c>
      <c r="Z41" s="82">
        <f t="shared" si="21"/>
        <v>0</v>
      </c>
      <c r="AA41" s="82">
        <f t="shared" si="21"/>
        <v>0</v>
      </c>
      <c r="AB41" s="82">
        <f t="shared" si="21"/>
        <v>0</v>
      </c>
      <c r="AC41" s="82">
        <f t="shared" si="21"/>
        <v>0</v>
      </c>
      <c r="AD41" s="82">
        <f t="shared" si="21"/>
        <v>0</v>
      </c>
      <c r="AE41" s="82">
        <f t="shared" si="21"/>
        <v>0</v>
      </c>
      <c r="AF41" s="82">
        <f t="shared" si="21"/>
        <v>0</v>
      </c>
      <c r="AG41" s="82">
        <f t="shared" si="21"/>
        <v>0</v>
      </c>
      <c r="AH41" s="82">
        <f t="shared" si="21"/>
        <v>0</v>
      </c>
      <c r="AI41" s="82">
        <f t="shared" si="21"/>
        <v>0</v>
      </c>
      <c r="AJ41" s="82">
        <f t="shared" si="21"/>
        <v>0</v>
      </c>
      <c r="AK41" s="82">
        <f t="shared" si="21"/>
        <v>0</v>
      </c>
      <c r="AL41" s="82">
        <f t="shared" si="21"/>
        <v>0</v>
      </c>
    </row>
    <row r="42" spans="2:38">
      <c r="B42" s="11" t="s">
        <v>300</v>
      </c>
      <c r="C42" s="83">
        <f>SUM(D42:AL42)</f>
        <v>143917.12683734039</v>
      </c>
      <c r="D42" s="82">
        <f>D$17</f>
        <v>20959.817889154117</v>
      </c>
      <c r="E42" s="82">
        <f t="shared" ref="E42:AL42" si="22">E$17</f>
        <v>122957.30894818627</v>
      </c>
      <c r="F42" s="82">
        <f t="shared" si="22"/>
        <v>0</v>
      </c>
      <c r="G42" s="82">
        <f t="shared" si="22"/>
        <v>0</v>
      </c>
      <c r="H42" s="82">
        <f t="shared" si="22"/>
        <v>0</v>
      </c>
      <c r="I42" s="82">
        <f t="shared" si="22"/>
        <v>0</v>
      </c>
      <c r="J42" s="82">
        <f t="shared" si="22"/>
        <v>0</v>
      </c>
      <c r="K42" s="82">
        <f t="shared" si="22"/>
        <v>0</v>
      </c>
      <c r="L42" s="82">
        <f t="shared" si="22"/>
        <v>0</v>
      </c>
      <c r="M42" s="82">
        <f t="shared" si="22"/>
        <v>0</v>
      </c>
      <c r="N42" s="82">
        <f t="shared" si="22"/>
        <v>0</v>
      </c>
      <c r="O42" s="82">
        <f t="shared" si="22"/>
        <v>0</v>
      </c>
      <c r="P42" s="82">
        <f t="shared" si="22"/>
        <v>0</v>
      </c>
      <c r="Q42" s="82">
        <f t="shared" si="22"/>
        <v>0</v>
      </c>
      <c r="R42" s="82">
        <f t="shared" si="22"/>
        <v>0</v>
      </c>
      <c r="S42" s="82">
        <f t="shared" si="22"/>
        <v>0</v>
      </c>
      <c r="T42" s="82">
        <f t="shared" si="22"/>
        <v>0</v>
      </c>
      <c r="U42" s="82">
        <f t="shared" si="22"/>
        <v>0</v>
      </c>
      <c r="V42" s="82">
        <f t="shared" si="22"/>
        <v>0</v>
      </c>
      <c r="W42" s="82">
        <f t="shared" si="22"/>
        <v>0</v>
      </c>
      <c r="X42" s="82">
        <f t="shared" si="22"/>
        <v>0</v>
      </c>
      <c r="Y42" s="82">
        <f t="shared" si="22"/>
        <v>0</v>
      </c>
      <c r="Z42" s="82">
        <f t="shared" si="22"/>
        <v>0</v>
      </c>
      <c r="AA42" s="82">
        <f t="shared" si="22"/>
        <v>0</v>
      </c>
      <c r="AB42" s="82">
        <f t="shared" si="22"/>
        <v>0</v>
      </c>
      <c r="AC42" s="82">
        <f t="shared" si="22"/>
        <v>0</v>
      </c>
      <c r="AD42" s="82">
        <f t="shared" si="22"/>
        <v>0</v>
      </c>
      <c r="AE42" s="82">
        <f t="shared" si="22"/>
        <v>0</v>
      </c>
      <c r="AF42" s="82">
        <f t="shared" si="22"/>
        <v>0</v>
      </c>
      <c r="AG42" s="82">
        <f t="shared" si="22"/>
        <v>0</v>
      </c>
      <c r="AH42" s="82">
        <f t="shared" si="22"/>
        <v>0</v>
      </c>
      <c r="AI42" s="82">
        <f t="shared" si="22"/>
        <v>0</v>
      </c>
      <c r="AJ42" s="82">
        <f t="shared" si="22"/>
        <v>0</v>
      </c>
      <c r="AK42" s="82">
        <f t="shared" si="22"/>
        <v>0</v>
      </c>
      <c r="AL42" s="82">
        <f t="shared" si="22"/>
        <v>0</v>
      </c>
    </row>
    <row r="43" spans="2:38">
      <c r="B43" s="11" t="s">
        <v>301</v>
      </c>
      <c r="C43" s="83">
        <f>SUM(D43:AL43)</f>
        <v>50015.375871327793</v>
      </c>
      <c r="D43" s="82">
        <f t="shared" ref="D43:AL43" si="23">(D41+D42/2)*$C$28</f>
        <v>476.35949748077729</v>
      </c>
      <c r="E43" s="82">
        <f t="shared" si="23"/>
        <v>3747.2032892385259</v>
      </c>
      <c r="F43" s="82">
        <f t="shared" si="23"/>
        <v>6541.6875835154979</v>
      </c>
      <c r="G43" s="82">
        <f t="shared" si="23"/>
        <v>6038.4808463219988</v>
      </c>
      <c r="H43" s="82">
        <f t="shared" si="23"/>
        <v>5535.2741091284988</v>
      </c>
      <c r="I43" s="82">
        <f t="shared" si="23"/>
        <v>5032.0673719349988</v>
      </c>
      <c r="J43" s="82">
        <f t="shared" si="23"/>
        <v>4528.8606347414989</v>
      </c>
      <c r="K43" s="82">
        <f t="shared" si="23"/>
        <v>4025.6538975479993</v>
      </c>
      <c r="L43" s="82">
        <f t="shared" si="23"/>
        <v>3522.4471603544994</v>
      </c>
      <c r="M43" s="82">
        <f t="shared" si="23"/>
        <v>3019.2404231609994</v>
      </c>
      <c r="N43" s="82">
        <f t="shared" si="23"/>
        <v>2516.0336859674994</v>
      </c>
      <c r="O43" s="82">
        <f t="shared" si="23"/>
        <v>2012.8269487739997</v>
      </c>
      <c r="P43" s="82">
        <f t="shared" si="23"/>
        <v>1509.6202115804997</v>
      </c>
      <c r="Q43" s="82">
        <f t="shared" si="23"/>
        <v>1006.4134743869998</v>
      </c>
      <c r="R43" s="82">
        <f t="shared" si="23"/>
        <v>503.20673719349998</v>
      </c>
      <c r="S43" s="82">
        <f t="shared" si="23"/>
        <v>0</v>
      </c>
      <c r="T43" s="82">
        <f t="shared" si="23"/>
        <v>0</v>
      </c>
      <c r="U43" s="82">
        <f t="shared" si="23"/>
        <v>0</v>
      </c>
      <c r="V43" s="82">
        <f t="shared" si="23"/>
        <v>0</v>
      </c>
      <c r="W43" s="82">
        <f t="shared" si="23"/>
        <v>0</v>
      </c>
      <c r="X43" s="82">
        <f t="shared" si="23"/>
        <v>0</v>
      </c>
      <c r="Y43" s="82">
        <f t="shared" si="23"/>
        <v>0</v>
      </c>
      <c r="Z43" s="82">
        <f t="shared" si="23"/>
        <v>0</v>
      </c>
      <c r="AA43" s="82">
        <f t="shared" si="23"/>
        <v>0</v>
      </c>
      <c r="AB43" s="82">
        <f t="shared" si="23"/>
        <v>0</v>
      </c>
      <c r="AC43" s="82">
        <f t="shared" si="23"/>
        <v>0</v>
      </c>
      <c r="AD43" s="82">
        <f t="shared" si="23"/>
        <v>0</v>
      </c>
      <c r="AE43" s="82">
        <f t="shared" si="23"/>
        <v>0</v>
      </c>
      <c r="AF43" s="82">
        <f t="shared" si="23"/>
        <v>0</v>
      </c>
      <c r="AG43" s="82">
        <f t="shared" si="23"/>
        <v>0</v>
      </c>
      <c r="AH43" s="82">
        <f t="shared" si="23"/>
        <v>0</v>
      </c>
      <c r="AI43" s="82">
        <f t="shared" si="23"/>
        <v>0</v>
      </c>
      <c r="AJ43" s="82">
        <f t="shared" si="23"/>
        <v>0</v>
      </c>
      <c r="AK43" s="82">
        <f t="shared" si="23"/>
        <v>0</v>
      </c>
      <c r="AL43" s="82">
        <f t="shared" si="23"/>
        <v>0</v>
      </c>
    </row>
    <row r="44" spans="2:38">
      <c r="B44" s="11" t="s">
        <v>303</v>
      </c>
      <c r="C44" s="83">
        <f>SUM(D44:AL44)</f>
        <v>-50015.375871327793</v>
      </c>
      <c r="D44" s="82">
        <f t="shared" ref="D44:I44" si="24">-D43</f>
        <v>-476.35949748077729</v>
      </c>
      <c r="E44" s="82">
        <f t="shared" si="24"/>
        <v>-3747.2032892385259</v>
      </c>
      <c r="F44" s="82">
        <f t="shared" si="24"/>
        <v>-6541.6875835154979</v>
      </c>
      <c r="G44" s="82">
        <f t="shared" si="24"/>
        <v>-6038.4808463219988</v>
      </c>
      <c r="H44" s="82">
        <f t="shared" si="24"/>
        <v>-5535.2741091284988</v>
      </c>
      <c r="I44" s="82">
        <f t="shared" si="24"/>
        <v>-5032.0673719349988</v>
      </c>
      <c r="J44" s="82">
        <f t="shared" ref="J44:AL44" si="25">-J43</f>
        <v>-4528.8606347414989</v>
      </c>
      <c r="K44" s="82">
        <f t="shared" si="25"/>
        <v>-4025.6538975479993</v>
      </c>
      <c r="L44" s="82">
        <f t="shared" si="25"/>
        <v>-3522.4471603544994</v>
      </c>
      <c r="M44" s="82">
        <f t="shared" si="25"/>
        <v>-3019.2404231609994</v>
      </c>
      <c r="N44" s="82">
        <f t="shared" si="25"/>
        <v>-2516.0336859674994</v>
      </c>
      <c r="O44" s="82">
        <f t="shared" si="25"/>
        <v>-2012.8269487739997</v>
      </c>
      <c r="P44" s="82">
        <f t="shared" si="25"/>
        <v>-1509.6202115804997</v>
      </c>
      <c r="Q44" s="82">
        <f t="shared" si="25"/>
        <v>-1006.4134743869998</v>
      </c>
      <c r="R44" s="82">
        <f t="shared" si="25"/>
        <v>-503.20673719349998</v>
      </c>
      <c r="S44" s="82">
        <f t="shared" si="25"/>
        <v>0</v>
      </c>
      <c r="T44" s="82">
        <f t="shared" si="25"/>
        <v>0</v>
      </c>
      <c r="U44" s="82">
        <f t="shared" si="25"/>
        <v>0</v>
      </c>
      <c r="V44" s="82">
        <f t="shared" si="25"/>
        <v>0</v>
      </c>
      <c r="W44" s="82">
        <f t="shared" si="25"/>
        <v>0</v>
      </c>
      <c r="X44" s="82">
        <f t="shared" si="25"/>
        <v>0</v>
      </c>
      <c r="Y44" s="82">
        <f t="shared" si="25"/>
        <v>0</v>
      </c>
      <c r="Z44" s="82">
        <f t="shared" si="25"/>
        <v>0</v>
      </c>
      <c r="AA44" s="82">
        <f t="shared" si="25"/>
        <v>0</v>
      </c>
      <c r="AB44" s="82">
        <f t="shared" si="25"/>
        <v>0</v>
      </c>
      <c r="AC44" s="82">
        <f t="shared" si="25"/>
        <v>0</v>
      </c>
      <c r="AD44" s="82">
        <f t="shared" si="25"/>
        <v>0</v>
      </c>
      <c r="AE44" s="82">
        <f t="shared" si="25"/>
        <v>0</v>
      </c>
      <c r="AF44" s="82">
        <f t="shared" si="25"/>
        <v>0</v>
      </c>
      <c r="AG44" s="82">
        <f t="shared" si="25"/>
        <v>0</v>
      </c>
      <c r="AH44" s="82">
        <f t="shared" si="25"/>
        <v>0</v>
      </c>
      <c r="AI44" s="82">
        <f t="shared" si="25"/>
        <v>0</v>
      </c>
      <c r="AJ44" s="82">
        <f t="shared" si="25"/>
        <v>0</v>
      </c>
      <c r="AK44" s="82">
        <f t="shared" si="25"/>
        <v>0</v>
      </c>
      <c r="AL44" s="82">
        <f t="shared" si="25"/>
        <v>0</v>
      </c>
    </row>
    <row r="45" spans="2:38">
      <c r="B45" s="11" t="s">
        <v>302</v>
      </c>
      <c r="C45" s="83">
        <f>SUM(D45:AL45)</f>
        <v>-143917.12683734036</v>
      </c>
      <c r="D45" s="82">
        <f t="shared" ref="D45:AL45" si="26">IF(AND(D$3&gt;$C$30,D$3&lt;=($C$29+$C$30)),-$C42/$C$29,0)</f>
        <v>0</v>
      </c>
      <c r="E45" s="82">
        <f t="shared" si="26"/>
        <v>0</v>
      </c>
      <c r="F45" s="82">
        <f t="shared" si="26"/>
        <v>-11070.548218256952</v>
      </c>
      <c r="G45" s="82">
        <f t="shared" si="26"/>
        <v>-11070.548218256952</v>
      </c>
      <c r="H45" s="82">
        <f t="shared" si="26"/>
        <v>-11070.548218256952</v>
      </c>
      <c r="I45" s="82">
        <f t="shared" si="26"/>
        <v>-11070.548218256952</v>
      </c>
      <c r="J45" s="82">
        <f t="shared" si="26"/>
        <v>-11070.548218256952</v>
      </c>
      <c r="K45" s="82">
        <f t="shared" si="26"/>
        <v>-11070.548218256952</v>
      </c>
      <c r="L45" s="82">
        <f t="shared" si="26"/>
        <v>-11070.548218256952</v>
      </c>
      <c r="M45" s="82">
        <f t="shared" si="26"/>
        <v>-11070.548218256952</v>
      </c>
      <c r="N45" s="82">
        <f t="shared" si="26"/>
        <v>-11070.548218256952</v>
      </c>
      <c r="O45" s="82">
        <f t="shared" si="26"/>
        <v>-11070.548218256952</v>
      </c>
      <c r="P45" s="82">
        <f t="shared" si="26"/>
        <v>-11070.548218256952</v>
      </c>
      <c r="Q45" s="82">
        <f t="shared" si="26"/>
        <v>-11070.548218256952</v>
      </c>
      <c r="R45" s="82">
        <f t="shared" si="26"/>
        <v>-11070.548218256952</v>
      </c>
      <c r="S45" s="82">
        <f t="shared" si="26"/>
        <v>0</v>
      </c>
      <c r="T45" s="82">
        <f t="shared" si="26"/>
        <v>0</v>
      </c>
      <c r="U45" s="82">
        <f t="shared" si="26"/>
        <v>0</v>
      </c>
      <c r="V45" s="82">
        <f t="shared" si="26"/>
        <v>0</v>
      </c>
      <c r="W45" s="82">
        <f t="shared" si="26"/>
        <v>0</v>
      </c>
      <c r="X45" s="82">
        <f t="shared" si="26"/>
        <v>0</v>
      </c>
      <c r="Y45" s="82">
        <f t="shared" si="26"/>
        <v>0</v>
      </c>
      <c r="Z45" s="82">
        <f t="shared" si="26"/>
        <v>0</v>
      </c>
      <c r="AA45" s="82">
        <f t="shared" si="26"/>
        <v>0</v>
      </c>
      <c r="AB45" s="82">
        <f t="shared" si="26"/>
        <v>0</v>
      </c>
      <c r="AC45" s="82">
        <f t="shared" si="26"/>
        <v>0</v>
      </c>
      <c r="AD45" s="82">
        <f t="shared" si="26"/>
        <v>0</v>
      </c>
      <c r="AE45" s="82">
        <f t="shared" si="26"/>
        <v>0</v>
      </c>
      <c r="AF45" s="82">
        <f t="shared" si="26"/>
        <v>0</v>
      </c>
      <c r="AG45" s="82">
        <f t="shared" si="26"/>
        <v>0</v>
      </c>
      <c r="AH45" s="82">
        <f t="shared" si="26"/>
        <v>0</v>
      </c>
      <c r="AI45" s="82">
        <f t="shared" si="26"/>
        <v>0</v>
      </c>
      <c r="AJ45" s="82">
        <f t="shared" si="26"/>
        <v>0</v>
      </c>
      <c r="AK45" s="82">
        <f t="shared" si="26"/>
        <v>0</v>
      </c>
      <c r="AL45" s="82">
        <f t="shared" si="26"/>
        <v>0</v>
      </c>
    </row>
    <row r="46" spans="2:38">
      <c r="B46" s="8" t="s">
        <v>304</v>
      </c>
      <c r="C46" s="83"/>
      <c r="D46" s="82">
        <f t="shared" ref="D46:AL46" si="27">SUM(D41:D45)</f>
        <v>20959.817889154117</v>
      </c>
      <c r="E46" s="82">
        <f t="shared" si="27"/>
        <v>143917.12683734039</v>
      </c>
      <c r="F46" s="82">
        <f t="shared" si="27"/>
        <v>132846.57861908345</v>
      </c>
      <c r="G46" s="82">
        <f t="shared" si="27"/>
        <v>121776.03040082649</v>
      </c>
      <c r="H46" s="82">
        <f t="shared" si="27"/>
        <v>110705.48218256954</v>
      </c>
      <c r="I46" s="82">
        <f t="shared" si="27"/>
        <v>99634.933964312586</v>
      </c>
      <c r="J46" s="82">
        <f t="shared" si="27"/>
        <v>88564.385746055632</v>
      </c>
      <c r="K46" s="82">
        <f t="shared" si="27"/>
        <v>77493.837527798678</v>
      </c>
      <c r="L46" s="82">
        <f t="shared" si="27"/>
        <v>66423.289309541724</v>
      </c>
      <c r="M46" s="82">
        <f t="shared" si="27"/>
        <v>55352.74109128477</v>
      </c>
      <c r="N46" s="82">
        <f t="shared" si="27"/>
        <v>44282.192873027816</v>
      </c>
      <c r="O46" s="82">
        <f t="shared" si="27"/>
        <v>33211.644654770862</v>
      </c>
      <c r="P46" s="82">
        <f t="shared" si="27"/>
        <v>22141.096436513908</v>
      </c>
      <c r="Q46" s="82">
        <f t="shared" si="27"/>
        <v>11070.548218256956</v>
      </c>
      <c r="R46" s="82">
        <f t="shared" si="27"/>
        <v>0</v>
      </c>
      <c r="S46" s="82">
        <f t="shared" si="27"/>
        <v>0</v>
      </c>
      <c r="T46" s="82">
        <f t="shared" si="27"/>
        <v>0</v>
      </c>
      <c r="U46" s="82">
        <f t="shared" si="27"/>
        <v>0</v>
      </c>
      <c r="V46" s="82">
        <f t="shared" si="27"/>
        <v>0</v>
      </c>
      <c r="W46" s="82">
        <f t="shared" si="27"/>
        <v>0</v>
      </c>
      <c r="X46" s="82">
        <f t="shared" si="27"/>
        <v>0</v>
      </c>
      <c r="Y46" s="82">
        <f t="shared" si="27"/>
        <v>0</v>
      </c>
      <c r="Z46" s="82">
        <f t="shared" si="27"/>
        <v>0</v>
      </c>
      <c r="AA46" s="82">
        <f t="shared" si="27"/>
        <v>0</v>
      </c>
      <c r="AB46" s="82">
        <f t="shared" si="27"/>
        <v>0</v>
      </c>
      <c r="AC46" s="82">
        <f t="shared" si="27"/>
        <v>0</v>
      </c>
      <c r="AD46" s="82">
        <f t="shared" si="27"/>
        <v>0</v>
      </c>
      <c r="AE46" s="82">
        <f t="shared" si="27"/>
        <v>0</v>
      </c>
      <c r="AF46" s="82">
        <f t="shared" si="27"/>
        <v>0</v>
      </c>
      <c r="AG46" s="82">
        <f t="shared" si="27"/>
        <v>0</v>
      </c>
      <c r="AH46" s="82">
        <f t="shared" si="27"/>
        <v>0</v>
      </c>
      <c r="AI46" s="82">
        <f t="shared" si="27"/>
        <v>0</v>
      </c>
      <c r="AJ46" s="82">
        <f t="shared" si="27"/>
        <v>0</v>
      </c>
      <c r="AK46" s="82">
        <f t="shared" si="27"/>
        <v>0</v>
      </c>
      <c r="AL46" s="82">
        <f t="shared" si="27"/>
        <v>0</v>
      </c>
    </row>
  </sheetData>
  <phoneticPr fontId="33" type="noConversion"/>
  <printOptions horizontalCentered="1"/>
  <pageMargins left="0.98425196850393704" right="0.39370078740157483" top="1.1811023622047245" bottom="0.78740157480314965" header="0.78740157480314965" footer="0.78740157480314965"/>
  <pageSetup paperSize="9" scale="56" orientation="landscape" r:id="rId1"/>
  <colBreaks count="1" manualBreakCount="1">
    <brk id="21" max="25" man="1"/>
  </colBreaks>
  <ignoredErrors>
    <ignoredError sqref="D24 E24:Q24 R24:AG24" formula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Planilha12"/>
  <dimension ref="B1:AP12"/>
  <sheetViews>
    <sheetView showGridLines="0" topLeftCell="B2" zoomScaleNormal="100" workbookViewId="0">
      <pane xSplit="2" ySplit="2" topLeftCell="D4" activePane="bottomRight" state="frozen"/>
      <selection activeCell="F15" sqref="F15"/>
      <selection pane="topRight" activeCell="F15" sqref="F15"/>
      <selection pane="bottomLeft" activeCell="F15" sqref="F15"/>
      <selection pane="bottomRight" activeCell="D4" sqref="D4"/>
    </sheetView>
  </sheetViews>
  <sheetFormatPr defaultRowHeight="12.75"/>
  <cols>
    <col min="1" max="1" width="3.7109375" customWidth="1"/>
    <col min="2" max="2" width="40.28515625" customWidth="1"/>
    <col min="3" max="3" width="10.7109375" customWidth="1"/>
    <col min="4" max="38" width="8.28515625" customWidth="1"/>
  </cols>
  <sheetData>
    <row r="1" spans="2:42" ht="30.2" customHeight="1">
      <c r="B1" s="19" t="str">
        <f>QDA!B1:O1</f>
        <v>CONCESSIONÁRIA ROTA DO ATLÂNTICO</v>
      </c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7"/>
      <c r="AI1" s="7"/>
      <c r="AJ1" s="7"/>
      <c r="AK1" s="7"/>
      <c r="AL1" s="7"/>
      <c r="AM1" s="7"/>
      <c r="AN1" s="7"/>
      <c r="AO1" s="7"/>
      <c r="AP1" s="7"/>
    </row>
    <row r="2" spans="2:42" ht="15">
      <c r="B2" s="5" t="s">
        <v>221</v>
      </c>
      <c r="C2" s="20"/>
      <c r="D2" s="148" t="s">
        <v>43</v>
      </c>
      <c r="G2" s="20" t="s">
        <v>230</v>
      </c>
      <c r="AG2" s="20"/>
      <c r="AL2" s="20"/>
    </row>
    <row r="3" spans="2:42" ht="30.2" customHeight="1">
      <c r="B3" s="26" t="s">
        <v>78</v>
      </c>
      <c r="C3" s="26" t="s">
        <v>4</v>
      </c>
      <c r="D3" s="26">
        <v>1</v>
      </c>
      <c r="E3" s="26">
        <v>2</v>
      </c>
      <c r="F3" s="26">
        <v>3</v>
      </c>
      <c r="G3" s="26">
        <v>4</v>
      </c>
      <c r="H3" s="26">
        <v>5</v>
      </c>
      <c r="I3" s="26">
        <v>6</v>
      </c>
      <c r="J3" s="26">
        <v>7</v>
      </c>
      <c r="K3" s="26">
        <v>8</v>
      </c>
      <c r="L3" s="26">
        <v>9</v>
      </c>
      <c r="M3" s="26">
        <v>10</v>
      </c>
      <c r="N3" s="26">
        <v>11</v>
      </c>
      <c r="O3" s="26">
        <v>12</v>
      </c>
      <c r="P3" s="26">
        <v>13</v>
      </c>
      <c r="Q3" s="26">
        <v>14</v>
      </c>
      <c r="R3" s="26">
        <v>15</v>
      </c>
      <c r="S3" s="26">
        <v>16</v>
      </c>
      <c r="T3" s="26">
        <v>17</v>
      </c>
      <c r="U3" s="26">
        <v>18</v>
      </c>
      <c r="V3" s="26">
        <v>19</v>
      </c>
      <c r="W3" s="26">
        <v>20</v>
      </c>
      <c r="X3" s="26">
        <v>21</v>
      </c>
      <c r="Y3" s="26">
        <v>22</v>
      </c>
      <c r="Z3" s="26">
        <v>23</v>
      </c>
      <c r="AA3" s="26">
        <v>24</v>
      </c>
      <c r="AB3" s="26">
        <v>25</v>
      </c>
      <c r="AC3" s="26">
        <v>26</v>
      </c>
      <c r="AD3" s="26">
        <v>27</v>
      </c>
      <c r="AE3" s="26">
        <v>28</v>
      </c>
      <c r="AF3" s="26">
        <v>29</v>
      </c>
      <c r="AG3" s="26">
        <v>30</v>
      </c>
      <c r="AH3" s="26">
        <v>31</v>
      </c>
      <c r="AI3" s="26">
        <v>32</v>
      </c>
      <c r="AJ3" s="26">
        <v>33</v>
      </c>
      <c r="AK3" s="26">
        <v>34</v>
      </c>
      <c r="AL3" s="26">
        <v>35</v>
      </c>
    </row>
    <row r="4" spans="2:42" ht="24.95" customHeight="1">
      <c r="B4" s="34" t="s">
        <v>67</v>
      </c>
      <c r="C4" s="41">
        <f t="shared" ref="C4:C12" si="0">SUM(D4:AL4)</f>
        <v>57339.508606375573</v>
      </c>
      <c r="D4" s="41">
        <f>SUM(D5:D7)</f>
        <v>1239.3235329634635</v>
      </c>
      <c r="E4" s="41">
        <f t="shared" ref="E4:AG4" si="1">SUM(E5:E7)</f>
        <v>7760.7386624164919</v>
      </c>
      <c r="F4" s="41">
        <f t="shared" si="1"/>
        <v>6905.6352015708007</v>
      </c>
      <c r="G4" s="41">
        <f t="shared" si="1"/>
        <v>6374.432493757663</v>
      </c>
      <c r="H4" s="41">
        <f t="shared" si="1"/>
        <v>5843.2297859445243</v>
      </c>
      <c r="I4" s="41">
        <f t="shared" si="1"/>
        <v>5312.0270781313857</v>
      </c>
      <c r="J4" s="41">
        <f t="shared" si="1"/>
        <v>4780.824370318247</v>
      </c>
      <c r="K4" s="41">
        <f t="shared" si="1"/>
        <v>4249.6216625051093</v>
      </c>
      <c r="L4" s="41">
        <f t="shared" si="1"/>
        <v>3718.4189546919702</v>
      </c>
      <c r="M4" s="41">
        <f t="shared" si="1"/>
        <v>3187.2162468788315</v>
      </c>
      <c r="N4" s="41">
        <f t="shared" si="1"/>
        <v>2656.0135390656928</v>
      </c>
      <c r="O4" s="41">
        <f t="shared" si="1"/>
        <v>2124.8108312525546</v>
      </c>
      <c r="P4" s="41">
        <f t="shared" si="1"/>
        <v>1593.6081234394157</v>
      </c>
      <c r="Q4" s="41">
        <f t="shared" si="1"/>
        <v>1062.4054156262771</v>
      </c>
      <c r="R4" s="41">
        <f t="shared" si="1"/>
        <v>531.20270781313866</v>
      </c>
      <c r="S4" s="41">
        <f t="shared" si="1"/>
        <v>-7.234616945921049E-14</v>
      </c>
      <c r="T4" s="41">
        <f t="shared" si="1"/>
        <v>-7.234616945921049E-14</v>
      </c>
      <c r="U4" s="41">
        <f t="shared" si="1"/>
        <v>-7.234616945921049E-14</v>
      </c>
      <c r="V4" s="41">
        <f t="shared" si="1"/>
        <v>-7.234616945921049E-14</v>
      </c>
      <c r="W4" s="41">
        <f t="shared" si="1"/>
        <v>-7.234616945921049E-14</v>
      </c>
      <c r="X4" s="41">
        <f t="shared" si="1"/>
        <v>-7.234616945921049E-14</v>
      </c>
      <c r="Y4" s="41">
        <f t="shared" si="1"/>
        <v>-7.234616945921049E-14</v>
      </c>
      <c r="Z4" s="41">
        <f t="shared" si="1"/>
        <v>-7.234616945921049E-14</v>
      </c>
      <c r="AA4" s="41">
        <f t="shared" si="1"/>
        <v>-7.234616945921049E-14</v>
      </c>
      <c r="AB4" s="41">
        <f t="shared" si="1"/>
        <v>-7.234616945921049E-14</v>
      </c>
      <c r="AC4" s="41">
        <f t="shared" si="1"/>
        <v>-7.234616945921049E-14</v>
      </c>
      <c r="AD4" s="41">
        <f t="shared" si="1"/>
        <v>-7.234616945921049E-14</v>
      </c>
      <c r="AE4" s="41">
        <f t="shared" si="1"/>
        <v>-7.234616945921049E-14</v>
      </c>
      <c r="AF4" s="41">
        <f t="shared" si="1"/>
        <v>-7.234616945921049E-14</v>
      </c>
      <c r="AG4" s="41">
        <f t="shared" si="1"/>
        <v>-7.234616945921049E-14</v>
      </c>
      <c r="AH4" s="41">
        <f>SUM(AH5:AH7)</f>
        <v>-7.234616945921049E-14</v>
      </c>
      <c r="AI4" s="41">
        <f>SUM(AI5:AI7)</f>
        <v>-7.234616945921049E-14</v>
      </c>
      <c r="AJ4" s="41">
        <f>SUM(AJ5:AJ7)</f>
        <v>-7.234616945921049E-14</v>
      </c>
      <c r="AK4" s="41">
        <f>SUM(AK5:AK7)</f>
        <v>-7.234616945921049E-14</v>
      </c>
      <c r="AL4" s="41">
        <f>SUM(AL5:AL7)</f>
        <v>-7.234616945921049E-14</v>
      </c>
    </row>
    <row r="5" spans="2:42" ht="18" customHeight="1">
      <c r="B5" s="48" t="s">
        <v>68</v>
      </c>
      <c r="C5" s="12">
        <f t="shared" si="0"/>
        <v>52872.943757999587</v>
      </c>
      <c r="D5" s="9">
        <f>QDH!D25</f>
        <v>540.33987310928944</v>
      </c>
      <c r="E5" s="9">
        <f>QDH!E25</f>
        <v>3993.1574738946897</v>
      </c>
      <c r="F5" s="9">
        <f>QDH!F25</f>
        <v>6905.6352015708007</v>
      </c>
      <c r="G5" s="9">
        <f>QDH!G25</f>
        <v>6374.432493757663</v>
      </c>
      <c r="H5" s="9">
        <f>QDH!H25</f>
        <v>5843.2297859445243</v>
      </c>
      <c r="I5" s="9">
        <f>QDH!I25</f>
        <v>5312.0270781313857</v>
      </c>
      <c r="J5" s="9">
        <f>QDH!J25</f>
        <v>4780.824370318247</v>
      </c>
      <c r="K5" s="9">
        <f>QDH!K25</f>
        <v>4249.6216625051093</v>
      </c>
      <c r="L5" s="9">
        <f>QDH!L25</f>
        <v>3718.4189546919702</v>
      </c>
      <c r="M5" s="9">
        <f>QDH!M25</f>
        <v>3187.2162468788315</v>
      </c>
      <c r="N5" s="9">
        <f>QDH!N25</f>
        <v>2656.0135390656928</v>
      </c>
      <c r="O5" s="9">
        <f>QDH!O25</f>
        <v>2124.8108312525546</v>
      </c>
      <c r="P5" s="9">
        <f>QDH!P25</f>
        <v>1593.6081234394157</v>
      </c>
      <c r="Q5" s="9">
        <f>QDH!Q25</f>
        <v>1062.4054156262771</v>
      </c>
      <c r="R5" s="9">
        <f>QDH!R25</f>
        <v>531.20270781313866</v>
      </c>
      <c r="S5" s="9">
        <f>QDH!S25</f>
        <v>-7.234616945921049E-14</v>
      </c>
      <c r="T5" s="9">
        <f>QDH!T25</f>
        <v>-7.234616945921049E-14</v>
      </c>
      <c r="U5" s="9">
        <f>QDH!U25</f>
        <v>-7.234616945921049E-14</v>
      </c>
      <c r="V5" s="9">
        <f>QDH!V25</f>
        <v>-7.234616945921049E-14</v>
      </c>
      <c r="W5" s="9">
        <f>QDH!W25</f>
        <v>-7.234616945921049E-14</v>
      </c>
      <c r="X5" s="9">
        <f>QDH!X25</f>
        <v>-7.234616945921049E-14</v>
      </c>
      <c r="Y5" s="9">
        <f>QDH!Y25</f>
        <v>-7.234616945921049E-14</v>
      </c>
      <c r="Z5" s="9">
        <f>QDH!Z25</f>
        <v>-7.234616945921049E-14</v>
      </c>
      <c r="AA5" s="9">
        <f>QDH!AA25</f>
        <v>-7.234616945921049E-14</v>
      </c>
      <c r="AB5" s="9">
        <f>QDH!AB25</f>
        <v>-7.234616945921049E-14</v>
      </c>
      <c r="AC5" s="9">
        <f>QDH!AC25</f>
        <v>-7.234616945921049E-14</v>
      </c>
      <c r="AD5" s="9">
        <f>QDH!AD25</f>
        <v>-7.234616945921049E-14</v>
      </c>
      <c r="AE5" s="9">
        <f>QDH!AE25</f>
        <v>-7.234616945921049E-14</v>
      </c>
      <c r="AF5" s="9">
        <f>QDH!AF25</f>
        <v>-7.234616945921049E-14</v>
      </c>
      <c r="AG5" s="9">
        <f>QDH!AG25</f>
        <v>-7.234616945921049E-14</v>
      </c>
      <c r="AH5" s="9">
        <f>QDH!AH25</f>
        <v>-7.234616945921049E-14</v>
      </c>
      <c r="AI5" s="9">
        <f>QDH!AI25</f>
        <v>-7.234616945921049E-14</v>
      </c>
      <c r="AJ5" s="9">
        <f>QDH!AJ25</f>
        <v>-7.234616945921049E-14</v>
      </c>
      <c r="AK5" s="9">
        <f>QDH!AK25</f>
        <v>-7.234616945921049E-14</v>
      </c>
      <c r="AL5" s="9">
        <f>QDH!AL25</f>
        <v>-7.234616945921049E-14</v>
      </c>
    </row>
    <row r="6" spans="2:42" ht="18" customHeight="1">
      <c r="B6" s="48" t="s">
        <v>69</v>
      </c>
      <c r="C6" s="12">
        <f t="shared" si="0"/>
        <v>0</v>
      </c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  <c r="O6" s="70"/>
      <c r="P6" s="70"/>
      <c r="Q6" s="70"/>
      <c r="R6" s="70"/>
      <c r="S6" s="70"/>
      <c r="T6" s="70"/>
      <c r="U6" s="70"/>
      <c r="V6" s="70"/>
      <c r="W6" s="70"/>
      <c r="X6" s="70"/>
      <c r="Y6" s="70"/>
      <c r="Z6" s="70"/>
      <c r="AA6" s="70"/>
      <c r="AB6" s="70"/>
      <c r="AC6" s="70"/>
      <c r="AD6" s="70"/>
      <c r="AE6" s="70"/>
      <c r="AF6" s="70"/>
      <c r="AG6" s="70"/>
      <c r="AH6" s="70"/>
      <c r="AI6" s="70"/>
      <c r="AJ6" s="70"/>
      <c r="AK6" s="70"/>
      <c r="AL6" s="70"/>
    </row>
    <row r="7" spans="2:42" ht="18" customHeight="1">
      <c r="B7" s="48" t="s">
        <v>366</v>
      </c>
      <c r="C7" s="12">
        <f t="shared" si="0"/>
        <v>4466.564848375976</v>
      </c>
      <c r="D7" s="70">
        <f>QDH!D22*2%+QDH!D22/2*1.88%</f>
        <v>698.98365985417411</v>
      </c>
      <c r="E7" s="70">
        <f>QDH!E22*2%+QDH!E22/2*1.88%</f>
        <v>3767.5811885218018</v>
      </c>
      <c r="F7" s="70">
        <f>QDH!F22*2%+QDH!F22/2*1.88%</f>
        <v>0</v>
      </c>
      <c r="G7" s="70">
        <f>QDH!G22*2%+QDH!G22/2*1.88%</f>
        <v>0</v>
      </c>
      <c r="H7" s="70">
        <f>QDH!H22*2%+QDH!H22/2*1.88%</f>
        <v>0</v>
      </c>
      <c r="I7" s="70">
        <f>QDH!I22*2%+QDH!I22/2*1.88%</f>
        <v>0</v>
      </c>
      <c r="J7" s="70">
        <f>QDH!J22*2%+QDH!J22/2*1.88%</f>
        <v>0</v>
      </c>
      <c r="K7" s="70">
        <f>QDH!K22*2%+QDH!K22/2*1.88%</f>
        <v>0</v>
      </c>
      <c r="L7" s="70">
        <f>QDH!L22*2%+QDH!L22/2*1.88%</f>
        <v>0</v>
      </c>
      <c r="M7" s="70">
        <f>QDH!M22*2%+QDH!M22/2*1.88%</f>
        <v>0</v>
      </c>
      <c r="N7" s="70">
        <f>QDH!N22*2%+QDH!N22/2*1.88%</f>
        <v>0</v>
      </c>
      <c r="O7" s="70">
        <f>QDH!O22*2%+QDH!O22/2*1.88%</f>
        <v>0</v>
      </c>
      <c r="P7" s="70">
        <f>QDH!P22*2%+QDH!P22/2*1.88%</f>
        <v>0</v>
      </c>
      <c r="Q7" s="70">
        <f>QDH!Q22*2%+QDH!Q22/2*1.88%</f>
        <v>0</v>
      </c>
      <c r="R7" s="70">
        <f>QDH!R22*2%+QDH!R22/2*1.88%</f>
        <v>0</v>
      </c>
      <c r="S7" s="70">
        <f>QDH!S22*2%+QDH!S22/2*1.88%</f>
        <v>0</v>
      </c>
      <c r="T7" s="70">
        <f>QDH!T22*2%+QDH!T22/2*1.88%</f>
        <v>0</v>
      </c>
      <c r="U7" s="70">
        <f>QDH!U22*2%+QDH!U22/2*1.88%</f>
        <v>0</v>
      </c>
      <c r="V7" s="70">
        <f>QDH!V22*2%+QDH!V22/2*1.88%</f>
        <v>0</v>
      </c>
      <c r="W7" s="70">
        <f>QDH!W22*2%+QDH!W22/2*1.88%</f>
        <v>0</v>
      </c>
      <c r="X7" s="70">
        <f>QDH!X22*2%+QDH!X22/2*1.88%</f>
        <v>0</v>
      </c>
      <c r="Y7" s="70">
        <f>QDH!Y22*2%+QDH!Y22/2*1.88%</f>
        <v>0</v>
      </c>
      <c r="Z7" s="70">
        <f>QDH!Z22*2%+QDH!Z22/2*1.88%</f>
        <v>0</v>
      </c>
      <c r="AA7" s="70">
        <f>QDH!AA22*2%+QDH!AA22/2*1.88%</f>
        <v>0</v>
      </c>
      <c r="AB7" s="70">
        <f>QDH!AB22*2%+QDH!AB22/2*1.88%</f>
        <v>0</v>
      </c>
      <c r="AC7" s="70">
        <f>QDH!AC22*2%+QDH!AC22/2*1.88%</f>
        <v>0</v>
      </c>
      <c r="AD7" s="70">
        <f>QDH!AD22*2%+QDH!AD22/2*1.88%</f>
        <v>0</v>
      </c>
      <c r="AE7" s="70">
        <f>QDH!AE22*2%+QDH!AE22/2*1.88%</f>
        <v>0</v>
      </c>
      <c r="AF7" s="70">
        <f>QDH!AF22*2%+QDH!AF22/2*1.88%</f>
        <v>0</v>
      </c>
      <c r="AG7" s="70">
        <f>QDH!AG22*2%+QDH!AG22/2*1.88%</f>
        <v>0</v>
      </c>
      <c r="AH7" s="70">
        <f>QDH!AH22*2%+QDH!AH22/2*1.88%</f>
        <v>0</v>
      </c>
      <c r="AI7" s="70">
        <f>QDH!AI22*2%+QDH!AI22/2*1.88%</f>
        <v>0</v>
      </c>
      <c r="AJ7" s="70">
        <f>QDH!AJ22*2%+QDH!AJ22/2*1.88%</f>
        <v>0</v>
      </c>
      <c r="AK7" s="70">
        <f>QDH!AK22*2%+QDH!AK22/2*1.88%</f>
        <v>0</v>
      </c>
      <c r="AL7" s="70">
        <f>QDH!AL22*2%+QDH!AL22/2*1.88%</f>
        <v>0</v>
      </c>
    </row>
    <row r="8" spans="2:42" ht="24.95" customHeight="1">
      <c r="B8" s="34" t="s">
        <v>70</v>
      </c>
      <c r="C8" s="41">
        <f t="shared" si="0"/>
        <v>0</v>
      </c>
      <c r="D8" s="41">
        <f>SUM(D9:D11)</f>
        <v>0</v>
      </c>
      <c r="E8" s="41">
        <f t="shared" ref="E8:AG8" si="2">SUM(E9:E11)</f>
        <v>0</v>
      </c>
      <c r="F8" s="41">
        <f t="shared" si="2"/>
        <v>0</v>
      </c>
      <c r="G8" s="41">
        <f t="shared" si="2"/>
        <v>0</v>
      </c>
      <c r="H8" s="41">
        <f t="shared" si="2"/>
        <v>0</v>
      </c>
      <c r="I8" s="41">
        <f t="shared" si="2"/>
        <v>0</v>
      </c>
      <c r="J8" s="41">
        <f t="shared" si="2"/>
        <v>0</v>
      </c>
      <c r="K8" s="41">
        <f t="shared" si="2"/>
        <v>0</v>
      </c>
      <c r="L8" s="41">
        <f t="shared" si="2"/>
        <v>0</v>
      </c>
      <c r="M8" s="41">
        <f t="shared" si="2"/>
        <v>0</v>
      </c>
      <c r="N8" s="41">
        <f t="shared" si="2"/>
        <v>0</v>
      </c>
      <c r="O8" s="41">
        <f t="shared" si="2"/>
        <v>0</v>
      </c>
      <c r="P8" s="41">
        <f t="shared" si="2"/>
        <v>0</v>
      </c>
      <c r="Q8" s="41">
        <f t="shared" si="2"/>
        <v>0</v>
      </c>
      <c r="R8" s="41">
        <f t="shared" si="2"/>
        <v>0</v>
      </c>
      <c r="S8" s="41">
        <f t="shared" si="2"/>
        <v>0</v>
      </c>
      <c r="T8" s="41">
        <f t="shared" si="2"/>
        <v>0</v>
      </c>
      <c r="U8" s="41">
        <f t="shared" si="2"/>
        <v>0</v>
      </c>
      <c r="V8" s="41">
        <f t="shared" si="2"/>
        <v>0</v>
      </c>
      <c r="W8" s="41">
        <f t="shared" si="2"/>
        <v>0</v>
      </c>
      <c r="X8" s="41">
        <f t="shared" si="2"/>
        <v>0</v>
      </c>
      <c r="Y8" s="41">
        <f t="shared" si="2"/>
        <v>0</v>
      </c>
      <c r="Z8" s="41">
        <f t="shared" si="2"/>
        <v>0</v>
      </c>
      <c r="AA8" s="41">
        <f t="shared" si="2"/>
        <v>0</v>
      </c>
      <c r="AB8" s="41">
        <f t="shared" si="2"/>
        <v>0</v>
      </c>
      <c r="AC8" s="41">
        <f t="shared" si="2"/>
        <v>0</v>
      </c>
      <c r="AD8" s="41">
        <f t="shared" si="2"/>
        <v>0</v>
      </c>
      <c r="AE8" s="41">
        <f t="shared" si="2"/>
        <v>0</v>
      </c>
      <c r="AF8" s="41">
        <f t="shared" si="2"/>
        <v>0</v>
      </c>
      <c r="AG8" s="41">
        <f t="shared" si="2"/>
        <v>0</v>
      </c>
      <c r="AH8" s="41">
        <f>SUM(AH9:AH11)</f>
        <v>0</v>
      </c>
      <c r="AI8" s="41">
        <f>SUM(AI9:AI11)</f>
        <v>0</v>
      </c>
      <c r="AJ8" s="41">
        <f>SUM(AJ9:AJ11)</f>
        <v>0</v>
      </c>
      <c r="AK8" s="41">
        <f>SUM(AK9:AK11)</f>
        <v>0</v>
      </c>
      <c r="AL8" s="41">
        <f>SUM(AL9:AL11)</f>
        <v>0</v>
      </c>
    </row>
    <row r="9" spans="2:42" ht="18" customHeight="1">
      <c r="B9" s="48" t="s">
        <v>71</v>
      </c>
      <c r="C9" s="12">
        <f t="shared" si="0"/>
        <v>0</v>
      </c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</row>
    <row r="10" spans="2:42" ht="18" customHeight="1">
      <c r="B10" s="48" t="s">
        <v>72</v>
      </c>
      <c r="C10" s="12">
        <f t="shared" si="0"/>
        <v>0</v>
      </c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</row>
    <row r="11" spans="2:42" ht="18" customHeight="1">
      <c r="B11" s="48" t="s">
        <v>367</v>
      </c>
      <c r="C11" s="12">
        <f t="shared" si="0"/>
        <v>0</v>
      </c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</row>
    <row r="12" spans="2:42" ht="24.95" customHeight="1">
      <c r="B12" s="34" t="s">
        <v>4</v>
      </c>
      <c r="C12" s="41">
        <f t="shared" si="0"/>
        <v>57339.508606375573</v>
      </c>
      <c r="D12" s="41">
        <f>D4+D8</f>
        <v>1239.3235329634635</v>
      </c>
      <c r="E12" s="41">
        <f t="shared" ref="E12:AG12" si="3">E4+E8</f>
        <v>7760.7386624164919</v>
      </c>
      <c r="F12" s="41">
        <f t="shared" si="3"/>
        <v>6905.6352015708007</v>
      </c>
      <c r="G12" s="41">
        <f t="shared" si="3"/>
        <v>6374.432493757663</v>
      </c>
      <c r="H12" s="41">
        <f t="shared" si="3"/>
        <v>5843.2297859445243</v>
      </c>
      <c r="I12" s="41">
        <f t="shared" si="3"/>
        <v>5312.0270781313857</v>
      </c>
      <c r="J12" s="41">
        <f t="shared" si="3"/>
        <v>4780.824370318247</v>
      </c>
      <c r="K12" s="41">
        <f t="shared" si="3"/>
        <v>4249.6216625051093</v>
      </c>
      <c r="L12" s="41">
        <f t="shared" si="3"/>
        <v>3718.4189546919702</v>
      </c>
      <c r="M12" s="41">
        <f t="shared" si="3"/>
        <v>3187.2162468788315</v>
      </c>
      <c r="N12" s="41">
        <f t="shared" si="3"/>
        <v>2656.0135390656928</v>
      </c>
      <c r="O12" s="41">
        <f t="shared" si="3"/>
        <v>2124.8108312525546</v>
      </c>
      <c r="P12" s="41">
        <f t="shared" si="3"/>
        <v>1593.6081234394157</v>
      </c>
      <c r="Q12" s="41">
        <f t="shared" si="3"/>
        <v>1062.4054156262771</v>
      </c>
      <c r="R12" s="41">
        <f t="shared" si="3"/>
        <v>531.20270781313866</v>
      </c>
      <c r="S12" s="41">
        <f t="shared" si="3"/>
        <v>-7.234616945921049E-14</v>
      </c>
      <c r="T12" s="41">
        <f t="shared" si="3"/>
        <v>-7.234616945921049E-14</v>
      </c>
      <c r="U12" s="41">
        <f t="shared" si="3"/>
        <v>-7.234616945921049E-14</v>
      </c>
      <c r="V12" s="41">
        <f t="shared" si="3"/>
        <v>-7.234616945921049E-14</v>
      </c>
      <c r="W12" s="41">
        <f t="shared" si="3"/>
        <v>-7.234616945921049E-14</v>
      </c>
      <c r="X12" s="41">
        <f t="shared" si="3"/>
        <v>-7.234616945921049E-14</v>
      </c>
      <c r="Y12" s="41">
        <f t="shared" si="3"/>
        <v>-7.234616945921049E-14</v>
      </c>
      <c r="Z12" s="41">
        <f t="shared" si="3"/>
        <v>-7.234616945921049E-14</v>
      </c>
      <c r="AA12" s="41">
        <f t="shared" si="3"/>
        <v>-7.234616945921049E-14</v>
      </c>
      <c r="AB12" s="41">
        <f t="shared" si="3"/>
        <v>-7.234616945921049E-14</v>
      </c>
      <c r="AC12" s="41">
        <f t="shared" si="3"/>
        <v>-7.234616945921049E-14</v>
      </c>
      <c r="AD12" s="41">
        <f t="shared" si="3"/>
        <v>-7.234616945921049E-14</v>
      </c>
      <c r="AE12" s="41">
        <f t="shared" si="3"/>
        <v>-7.234616945921049E-14</v>
      </c>
      <c r="AF12" s="41">
        <f t="shared" si="3"/>
        <v>-7.234616945921049E-14</v>
      </c>
      <c r="AG12" s="41">
        <f t="shared" si="3"/>
        <v>-7.234616945921049E-14</v>
      </c>
      <c r="AH12" s="41">
        <f>AH4+AH8</f>
        <v>-7.234616945921049E-14</v>
      </c>
      <c r="AI12" s="41">
        <f>AI4+AI8</f>
        <v>-7.234616945921049E-14</v>
      </c>
      <c r="AJ12" s="41">
        <f>AJ4+AJ8</f>
        <v>-7.234616945921049E-14</v>
      </c>
      <c r="AK12" s="41">
        <f>AK4+AK8</f>
        <v>-7.234616945921049E-14</v>
      </c>
      <c r="AL12" s="41">
        <f>AL4+AL8</f>
        <v>-7.234616945921049E-14</v>
      </c>
    </row>
  </sheetData>
  <phoneticPr fontId="33" type="noConversion"/>
  <printOptions horizontalCentered="1"/>
  <pageMargins left="0.98425196850393704" right="0.39370078740157483" top="1.1811023622047245" bottom="0.78740157480314965" header="0.78740157480314965" footer="0.78740157480314965"/>
  <pageSetup paperSize="9" scale="67" orientation="landscape" r:id="rId1"/>
  <headerFooter>
    <oddFooter>&amp;L&amp;"Arial,Negrito"Nota: o item 1.3 corresponde aos custos estimados de estruturação dos financiamentos e do imposto sobre operações financeiras (IOF).</oddFooter>
  </headerFooter>
  <colBreaks count="1" manualBreakCount="1">
    <brk id="21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Planilha13"/>
  <dimension ref="A1:AL77"/>
  <sheetViews>
    <sheetView showGridLines="0" zoomScale="80" zoomScaleNormal="80" workbookViewId="0">
      <selection activeCell="I17" sqref="I17"/>
    </sheetView>
  </sheetViews>
  <sheetFormatPr defaultRowHeight="12.75"/>
  <cols>
    <col min="1" max="1" width="4.7109375" customWidth="1"/>
    <col min="2" max="2" width="50.28515625" customWidth="1"/>
    <col min="3" max="3" width="14.28515625" customWidth="1"/>
    <col min="4" max="4" width="8.7109375" customWidth="1"/>
    <col min="5" max="5" width="9.7109375" customWidth="1"/>
    <col min="6" max="38" width="8.7109375" customWidth="1"/>
  </cols>
  <sheetData>
    <row r="1" spans="1:38" ht="30.2" customHeight="1">
      <c r="B1" s="51" t="str">
        <f>QDA!B1</f>
        <v>CONCESSIONÁRIA ROTA DO ATLÂNTICO</v>
      </c>
    </row>
    <row r="2" spans="1:38" ht="15">
      <c r="B2" s="5" t="s">
        <v>222</v>
      </c>
      <c r="C2" s="20"/>
      <c r="D2" s="148" t="s">
        <v>43</v>
      </c>
      <c r="G2" s="20" t="s">
        <v>230</v>
      </c>
      <c r="AG2" s="20"/>
      <c r="AL2" s="20"/>
    </row>
    <row r="3" spans="1:38" ht="30.2" customHeight="1">
      <c r="B3" s="26" t="s">
        <v>78</v>
      </c>
      <c r="C3" s="26" t="s">
        <v>4</v>
      </c>
      <c r="D3" s="26">
        <v>1</v>
      </c>
      <c r="E3" s="26">
        <v>2</v>
      </c>
      <c r="F3" s="26">
        <v>3</v>
      </c>
      <c r="G3" s="26">
        <v>4</v>
      </c>
      <c r="H3" s="26">
        <v>5</v>
      </c>
      <c r="I3" s="26">
        <v>6</v>
      </c>
      <c r="J3" s="26">
        <v>7</v>
      </c>
      <c r="K3" s="26">
        <v>8</v>
      </c>
      <c r="L3" s="26">
        <v>9</v>
      </c>
      <c r="M3" s="26">
        <v>10</v>
      </c>
      <c r="N3" s="26">
        <v>11</v>
      </c>
      <c r="O3" s="26">
        <v>12</v>
      </c>
      <c r="P3" s="26">
        <v>13</v>
      </c>
      <c r="Q3" s="26">
        <v>14</v>
      </c>
      <c r="R3" s="26">
        <v>15</v>
      </c>
      <c r="S3" s="26">
        <v>16</v>
      </c>
      <c r="T3" s="26">
        <v>17</v>
      </c>
      <c r="U3" s="26">
        <v>18</v>
      </c>
      <c r="V3" s="26">
        <v>19</v>
      </c>
      <c r="W3" s="26">
        <v>20</v>
      </c>
      <c r="X3" s="26">
        <v>21</v>
      </c>
      <c r="Y3" s="26">
        <v>22</v>
      </c>
      <c r="Z3" s="26">
        <v>23</v>
      </c>
      <c r="AA3" s="26">
        <v>24</v>
      </c>
      <c r="AB3" s="26">
        <v>25</v>
      </c>
      <c r="AC3" s="26">
        <v>26</v>
      </c>
      <c r="AD3" s="26">
        <v>27</v>
      </c>
      <c r="AE3" s="26">
        <v>28</v>
      </c>
      <c r="AF3" s="26">
        <v>29</v>
      </c>
      <c r="AG3" s="26">
        <v>30</v>
      </c>
      <c r="AH3" s="26">
        <v>31</v>
      </c>
      <c r="AI3" s="26">
        <v>32</v>
      </c>
      <c r="AJ3" s="26">
        <v>33</v>
      </c>
      <c r="AK3" s="26">
        <v>34</v>
      </c>
      <c r="AL3" s="26">
        <v>35</v>
      </c>
    </row>
    <row r="4" spans="1:38" ht="24.95" customHeight="1">
      <c r="B4" s="34" t="s">
        <v>73</v>
      </c>
      <c r="C4" s="41">
        <f t="shared" ref="C4:C26" si="0">SUM(D4:AL4)</f>
        <v>4169503.4247656143</v>
      </c>
      <c r="D4" s="41">
        <f>SUM(D5:D6)</f>
        <v>72192.175904472373</v>
      </c>
      <c r="E4" s="41">
        <f t="shared" ref="E4:AL4" si="1">SUM(E5:E6)</f>
        <v>125033.78191144578</v>
      </c>
      <c r="F4" s="41">
        <f t="shared" si="1"/>
        <v>41773.03743548692</v>
      </c>
      <c r="G4" s="41">
        <f t="shared" si="1"/>
        <v>54242.188591626764</v>
      </c>
      <c r="H4" s="41">
        <f t="shared" si="1"/>
        <v>61095.308416986627</v>
      </c>
      <c r="I4" s="41">
        <f t="shared" si="1"/>
        <v>64722.066147548714</v>
      </c>
      <c r="J4" s="41">
        <f t="shared" si="1"/>
        <v>66591.40387070096</v>
      </c>
      <c r="K4" s="41">
        <f t="shared" si="1"/>
        <v>70262.062217854953</v>
      </c>
      <c r="L4" s="41">
        <f t="shared" si="1"/>
        <v>74382.066791974721</v>
      </c>
      <c r="M4" s="41">
        <f t="shared" si="1"/>
        <v>78518.776586422639</v>
      </c>
      <c r="N4" s="41">
        <f t="shared" si="1"/>
        <v>82624.077209380383</v>
      </c>
      <c r="O4" s="41">
        <f t="shared" si="1"/>
        <v>86881.146439241478</v>
      </c>
      <c r="P4" s="41">
        <f t="shared" si="1"/>
        <v>91318.7950163114</v>
      </c>
      <c r="Q4" s="41">
        <f t="shared" si="1"/>
        <v>95844.515414449445</v>
      </c>
      <c r="R4" s="41">
        <f t="shared" si="1"/>
        <v>99135.651259978986</v>
      </c>
      <c r="S4" s="41">
        <f t="shared" si="1"/>
        <v>101178.81436332628</v>
      </c>
      <c r="T4" s="41">
        <f t="shared" si="1"/>
        <v>114174.31877963232</v>
      </c>
      <c r="U4" s="41">
        <f t="shared" si="1"/>
        <v>110473.5093547854</v>
      </c>
      <c r="V4" s="41">
        <f t="shared" si="1"/>
        <v>115232.38572736495</v>
      </c>
      <c r="W4" s="41">
        <f t="shared" si="1"/>
        <v>120136.30497800547</v>
      </c>
      <c r="X4" s="41">
        <f t="shared" si="1"/>
        <v>125250.90361858827</v>
      </c>
      <c r="Y4" s="41">
        <f t="shared" si="1"/>
        <v>130406.08927214963</v>
      </c>
      <c r="Z4" s="41">
        <f t="shared" si="1"/>
        <v>135593.54223130876</v>
      </c>
      <c r="AA4" s="41">
        <f t="shared" si="1"/>
        <v>140803.53201005305</v>
      </c>
      <c r="AB4" s="41">
        <f t="shared" si="1"/>
        <v>146025.43591836683</v>
      </c>
      <c r="AC4" s="41">
        <f t="shared" si="1"/>
        <v>151246.9716671404</v>
      </c>
      <c r="AD4" s="41">
        <f t="shared" si="1"/>
        <v>156453.87267038817</v>
      </c>
      <c r="AE4" s="41">
        <f t="shared" si="1"/>
        <v>161630.52571747208</v>
      </c>
      <c r="AF4" s="41">
        <f t="shared" si="1"/>
        <v>166758.75168885948</v>
      </c>
      <c r="AG4" s="41">
        <f t="shared" si="1"/>
        <v>193355.36832397355</v>
      </c>
      <c r="AH4" s="41">
        <f t="shared" si="1"/>
        <v>176793.43301848136</v>
      </c>
      <c r="AI4" s="41">
        <f t="shared" si="1"/>
        <v>181659.94611004196</v>
      </c>
      <c r="AJ4" s="41">
        <f t="shared" si="1"/>
        <v>186399.90751658328</v>
      </c>
      <c r="AK4" s="41">
        <f t="shared" si="1"/>
        <v>191001.10383613568</v>
      </c>
      <c r="AL4" s="41">
        <f t="shared" si="1"/>
        <v>200311.65474907545</v>
      </c>
    </row>
    <row r="5" spans="1:38" ht="19.5" customHeight="1">
      <c r="B5" s="48" t="s">
        <v>79</v>
      </c>
      <c r="C5" s="49">
        <f t="shared" si="0"/>
        <v>3933581.0998903485</v>
      </c>
      <c r="D5" s="49">
        <f t="array" ref="D5:AL5">TRANSPOSE(QDB!O6:O40)</f>
        <v>0</v>
      </c>
      <c r="E5" s="49">
        <v>0</v>
      </c>
      <c r="F5" s="49">
        <v>41773.03743548692</v>
      </c>
      <c r="G5" s="49">
        <v>54242.188591626764</v>
      </c>
      <c r="H5" s="49">
        <v>61095.308416986627</v>
      </c>
      <c r="I5" s="49">
        <v>64722.066147548714</v>
      </c>
      <c r="J5" s="49">
        <v>66591.40387070096</v>
      </c>
      <c r="K5" s="49">
        <v>70262.062217854953</v>
      </c>
      <c r="L5" s="49">
        <v>74382.066791974721</v>
      </c>
      <c r="M5" s="49">
        <v>78518.776586422639</v>
      </c>
      <c r="N5" s="49">
        <v>82624.077209380383</v>
      </c>
      <c r="O5" s="49">
        <v>86881.146439241478</v>
      </c>
      <c r="P5" s="49">
        <v>91318.7950163114</v>
      </c>
      <c r="Q5" s="49">
        <v>95844.515414449445</v>
      </c>
      <c r="R5" s="49">
        <v>96645.500927492176</v>
      </c>
      <c r="S5" s="49">
        <v>101178.81436332628</v>
      </c>
      <c r="T5" s="49">
        <v>105788.83432081273</v>
      </c>
      <c r="U5" s="49">
        <v>110473.5093547854</v>
      </c>
      <c r="V5" s="49">
        <v>115232.38572736495</v>
      </c>
      <c r="W5" s="49">
        <v>120136.30497800547</v>
      </c>
      <c r="X5" s="49">
        <v>125250.90361858827</v>
      </c>
      <c r="Y5" s="49">
        <v>130406.08927214963</v>
      </c>
      <c r="Z5" s="49">
        <v>135593.54223130876</v>
      </c>
      <c r="AA5" s="49">
        <v>140803.53201005305</v>
      </c>
      <c r="AB5" s="49">
        <v>146025.43591836683</v>
      </c>
      <c r="AC5" s="49">
        <v>151246.9716671404</v>
      </c>
      <c r="AD5" s="49">
        <v>156453.87267038817</v>
      </c>
      <c r="AE5" s="49">
        <v>161630.52571747208</v>
      </c>
      <c r="AF5" s="49">
        <v>166758.75168885948</v>
      </c>
      <c r="AG5" s="49">
        <v>171819.53914871582</v>
      </c>
      <c r="AH5" s="49">
        <v>176793.43301848136</v>
      </c>
      <c r="AI5" s="49">
        <v>181659.94611004196</v>
      </c>
      <c r="AJ5" s="49">
        <v>186399.90751658328</v>
      </c>
      <c r="AK5" s="49">
        <v>191001.10383613568</v>
      </c>
      <c r="AL5" s="49">
        <v>194026.75165629195</v>
      </c>
    </row>
    <row r="6" spans="1:38" ht="18" customHeight="1">
      <c r="A6" t="s">
        <v>372</v>
      </c>
      <c r="B6" s="48" t="s">
        <v>368</v>
      </c>
      <c r="C6" s="49">
        <f t="shared" si="0"/>
        <v>235922.32487526577</v>
      </c>
      <c r="D6" s="178">
        <f>QDF!E8+SUM(QDF!E4:E5)</f>
        <v>72192.175904472373</v>
      </c>
      <c r="E6" s="178">
        <f>QDF!F8+SUM(QDF!F4:F5)</f>
        <v>125033.78191144578</v>
      </c>
      <c r="F6" s="49">
        <f>QDF!G8+SUM(QDF!G4:G5)</f>
        <v>0</v>
      </c>
      <c r="G6" s="49">
        <f>QDF!H8+SUM(QDF!H4:H5)+G1</f>
        <v>0</v>
      </c>
      <c r="H6" s="49">
        <f>QDF!I8+SUM(QDF!I4:I5)+H1</f>
        <v>0</v>
      </c>
      <c r="I6" s="49">
        <f>QDF!J8+SUM(QDF!J4:J5)</f>
        <v>0</v>
      </c>
      <c r="J6" s="49">
        <f>QDF!K8+SUM(QDF!K4:K5)</f>
        <v>0</v>
      </c>
      <c r="K6" s="49">
        <f>QDF!L8+SUM(QDF!L4:L5)</f>
        <v>0</v>
      </c>
      <c r="L6" s="49">
        <f>QDF!M8+SUM(QDF!M4:M5)</f>
        <v>0</v>
      </c>
      <c r="M6" s="49">
        <f>QDF!N8+SUM(QDF!N4:N5)</f>
        <v>0</v>
      </c>
      <c r="N6" s="49">
        <f>QDF!O8+SUM(QDF!O4:O5)</f>
        <v>0</v>
      </c>
      <c r="O6" s="49">
        <f>QDF!P8+SUM(QDF!P4:P5)</f>
        <v>0</v>
      </c>
      <c r="P6" s="49">
        <f>QDF!Q8+SUM(QDF!Q4:Q5)</f>
        <v>0</v>
      </c>
      <c r="Q6" s="49">
        <f>QDF!R8+SUM(QDF!R4:R5)</f>
        <v>0</v>
      </c>
      <c r="R6" s="49">
        <f>QDF!S8+SUM(QDF!S4:S5)</f>
        <v>2490.150332486804</v>
      </c>
      <c r="S6" s="49">
        <f>QDF!T8+SUM(QDF!T4:T5)</f>
        <v>0</v>
      </c>
      <c r="T6" s="49">
        <f>QDF!U8+SUM(QDF!U4:U5)</f>
        <v>8385.4844588195883</v>
      </c>
      <c r="U6" s="49">
        <f>QDF!V8+SUM(QDF!V4:V5)</f>
        <v>0</v>
      </c>
      <c r="V6" s="49">
        <f>QDF!W8+SUM(QDF!W4:W5)</f>
        <v>0</v>
      </c>
      <c r="W6" s="49">
        <f>QDF!X8+SUM(QDF!X4:X5)</f>
        <v>0</v>
      </c>
      <c r="X6" s="49">
        <f>QDF!Y8+SUM(QDF!Y4:Y5)</f>
        <v>0</v>
      </c>
      <c r="Y6" s="49">
        <f>QDF!Z8+SUM(QDF!Z4:Z5)</f>
        <v>0</v>
      </c>
      <c r="Z6" s="49">
        <f>QDF!AA8+SUM(QDF!AA4:AA5)</f>
        <v>0</v>
      </c>
      <c r="AA6" s="49">
        <f>QDF!AB8+SUM(QDF!AB4:AB5)</f>
        <v>0</v>
      </c>
      <c r="AB6" s="49">
        <f>QDF!AC8+SUM(QDF!AC4:AC5)</f>
        <v>0</v>
      </c>
      <c r="AC6" s="49">
        <f>QDF!AD8+SUM(QDF!AD4:AD5)</f>
        <v>0</v>
      </c>
      <c r="AD6" s="49">
        <f>QDF!AE8+SUM(QDF!AE4:AE5)</f>
        <v>0</v>
      </c>
      <c r="AE6" s="49">
        <f>QDF!AF8+SUM(QDF!AF4:AF5)</f>
        <v>0</v>
      </c>
      <c r="AF6" s="49">
        <f>QDF!AG8+SUM(QDF!AG4:AG5)</f>
        <v>0</v>
      </c>
      <c r="AG6" s="49">
        <f>QDF!AH8+SUM(QDF!AH4:AH5)</f>
        <v>21535.829175257732</v>
      </c>
      <c r="AH6" s="49">
        <f>QDF!AI8+SUM(QDF!AI4:AI5)</f>
        <v>0</v>
      </c>
      <c r="AI6" s="49">
        <f>QDF!AJ8+SUM(QDF!AJ4:AJ5)</f>
        <v>0</v>
      </c>
      <c r="AJ6" s="49">
        <f>QDF!AK8+SUM(QDF!AK4:AK5)</f>
        <v>0</v>
      </c>
      <c r="AK6" s="49">
        <f>QDF!AL8+SUM(QDF!AL4:AL5)</f>
        <v>0</v>
      </c>
      <c r="AL6" s="49">
        <f>QDF!AM8+SUM(QDF!AM4:AM5)</f>
        <v>6284.9030927835047</v>
      </c>
    </row>
    <row r="7" spans="1:38" ht="24.95" customHeight="1">
      <c r="B7" s="34" t="s">
        <v>74</v>
      </c>
      <c r="C7" s="41">
        <f t="shared" si="0"/>
        <v>340254.76514051511</v>
      </c>
      <c r="D7" s="41">
        <f>SUM(D8:D10)</f>
        <v>0</v>
      </c>
      <c r="E7" s="41">
        <f t="shared" ref="E7:AG7" si="2">SUM(E8:E10)</f>
        <v>0</v>
      </c>
      <c r="F7" s="41">
        <f t="shared" si="2"/>
        <v>3613.3677381696189</v>
      </c>
      <c r="G7" s="41">
        <f t="shared" si="2"/>
        <v>4691.9493131757154</v>
      </c>
      <c r="H7" s="41">
        <f t="shared" si="2"/>
        <v>5284.7441780693434</v>
      </c>
      <c r="I7" s="41">
        <f t="shared" si="2"/>
        <v>5598.4587217629642</v>
      </c>
      <c r="J7" s="41">
        <f t="shared" si="2"/>
        <v>5760.1564348156326</v>
      </c>
      <c r="K7" s="41">
        <f t="shared" si="2"/>
        <v>6077.6683818444535</v>
      </c>
      <c r="L7" s="41">
        <f t="shared" si="2"/>
        <v>6434.0487775058127</v>
      </c>
      <c r="M7" s="41">
        <f t="shared" si="2"/>
        <v>6791.874174725559</v>
      </c>
      <c r="N7" s="41">
        <f t="shared" si="2"/>
        <v>7146.9826786114027</v>
      </c>
      <c r="O7" s="41">
        <f t="shared" si="2"/>
        <v>7515.2191669943877</v>
      </c>
      <c r="P7" s="41">
        <f t="shared" si="2"/>
        <v>7899.0757689109359</v>
      </c>
      <c r="Q7" s="41">
        <f t="shared" si="2"/>
        <v>8290.5505833498773</v>
      </c>
      <c r="R7" s="41">
        <f t="shared" si="2"/>
        <v>8359.8358302280722</v>
      </c>
      <c r="S7" s="41">
        <f t="shared" si="2"/>
        <v>8751.9674424277237</v>
      </c>
      <c r="T7" s="41">
        <f t="shared" si="2"/>
        <v>9150.7341687503031</v>
      </c>
      <c r="U7" s="41">
        <f t="shared" si="2"/>
        <v>9555.958559188939</v>
      </c>
      <c r="V7" s="41">
        <f t="shared" si="2"/>
        <v>9967.6013654170692</v>
      </c>
      <c r="W7" s="41">
        <f t="shared" si="2"/>
        <v>10391.790380597475</v>
      </c>
      <c r="X7" s="41">
        <f t="shared" si="2"/>
        <v>10834.203163007885</v>
      </c>
      <c r="Y7" s="41">
        <f t="shared" si="2"/>
        <v>11280.126722040945</v>
      </c>
      <c r="Z7" s="41">
        <f t="shared" si="2"/>
        <v>11728.841403008208</v>
      </c>
      <c r="AA7" s="41">
        <f t="shared" si="2"/>
        <v>12179.505518869588</v>
      </c>
      <c r="AB7" s="41">
        <f t="shared" si="2"/>
        <v>12631.200206938731</v>
      </c>
      <c r="AC7" s="41">
        <f t="shared" si="2"/>
        <v>13082.863049207645</v>
      </c>
      <c r="AD7" s="41">
        <f t="shared" si="2"/>
        <v>13533.259985988578</v>
      </c>
      <c r="AE7" s="41">
        <f t="shared" si="2"/>
        <v>13981.040474561334</v>
      </c>
      <c r="AF7" s="41">
        <f t="shared" si="2"/>
        <v>14424.632021086345</v>
      </c>
      <c r="AG7" s="41">
        <f t="shared" si="2"/>
        <v>14862.390136363918</v>
      </c>
      <c r="AH7" s="41">
        <f>SUM(AH8:AH10)</f>
        <v>15292.631956098638</v>
      </c>
      <c r="AI7" s="41">
        <f>SUM(AI8:AI10)</f>
        <v>15713.585338518629</v>
      </c>
      <c r="AJ7" s="41">
        <f>SUM(AJ8:AJ10)</f>
        <v>16123.592000184453</v>
      </c>
      <c r="AK7" s="41">
        <f>SUM(AK8:AK10)</f>
        <v>16521.595481825738</v>
      </c>
      <c r="AL7" s="41">
        <f>SUM(AL8:AL10)</f>
        <v>16783.314018269255</v>
      </c>
    </row>
    <row r="8" spans="1:38" ht="18" customHeight="1">
      <c r="B8" s="48" t="s">
        <v>127</v>
      </c>
      <c r="C8" s="49">
        <f t="shared" si="0"/>
        <v>196679.05499451744</v>
      </c>
      <c r="D8" s="49">
        <f>QDG!D5</f>
        <v>0</v>
      </c>
      <c r="E8" s="49">
        <f>QDG!E5</f>
        <v>0</v>
      </c>
      <c r="F8" s="49">
        <f>QDG!F5</f>
        <v>2088.6518717743461</v>
      </c>
      <c r="G8" s="49">
        <f>QDG!G5</f>
        <v>2712.1094295813382</v>
      </c>
      <c r="H8" s="49">
        <f>QDG!H5</f>
        <v>3054.7654208493313</v>
      </c>
      <c r="I8" s="49">
        <f>QDG!I5</f>
        <v>3236.1033073774361</v>
      </c>
      <c r="J8" s="49">
        <f>QDG!J5</f>
        <v>3329.570193535048</v>
      </c>
      <c r="K8" s="49">
        <f>QDG!K5</f>
        <v>3513.1031108927477</v>
      </c>
      <c r="L8" s="49">
        <f>QDG!L5</f>
        <v>3719.1033395987361</v>
      </c>
      <c r="M8" s="49">
        <f>QDG!M5</f>
        <v>3925.9388293211323</v>
      </c>
      <c r="N8" s="49">
        <f>QDG!N5</f>
        <v>4131.2038604690197</v>
      </c>
      <c r="O8" s="49">
        <f>QDG!O5</f>
        <v>4344.0573219620737</v>
      </c>
      <c r="P8" s="49">
        <f>QDG!P5</f>
        <v>4565.9397508155698</v>
      </c>
      <c r="Q8" s="49">
        <f>QDG!Q5</f>
        <v>4792.2257707224726</v>
      </c>
      <c r="R8" s="49">
        <f>QDG!R5</f>
        <v>4832.2750463746088</v>
      </c>
      <c r="S8" s="49">
        <f>QDG!S5</f>
        <v>5058.9407181663146</v>
      </c>
      <c r="T8" s="49">
        <f>QDG!T5</f>
        <v>5289.4417160406374</v>
      </c>
      <c r="U8" s="49">
        <f>QDG!U5</f>
        <v>5523.675467739271</v>
      </c>
      <c r="V8" s="49">
        <f>QDG!V5</f>
        <v>5761.6192863682481</v>
      </c>
      <c r="W8" s="49">
        <f>QDG!W5</f>
        <v>6006.8152489002741</v>
      </c>
      <c r="X8" s="49">
        <f>QDG!X5</f>
        <v>6262.5451809294136</v>
      </c>
      <c r="Y8" s="49">
        <f>QDG!Y5</f>
        <v>6520.3044636074819</v>
      </c>
      <c r="Z8" s="49">
        <f>QDG!Z5</f>
        <v>6779.6771115654383</v>
      </c>
      <c r="AA8" s="49">
        <f>QDG!AA5</f>
        <v>7040.1766005026529</v>
      </c>
      <c r="AB8" s="49">
        <f>QDG!AB5</f>
        <v>7301.2717959183419</v>
      </c>
      <c r="AC8" s="49">
        <f>QDG!AC5</f>
        <v>7562.3485833570203</v>
      </c>
      <c r="AD8" s="49">
        <f>QDG!AD5</f>
        <v>7822.6936335194086</v>
      </c>
      <c r="AE8" s="49">
        <f>QDG!AE5</f>
        <v>8081.5262858736041</v>
      </c>
      <c r="AF8" s="49">
        <f>QDG!AF5</f>
        <v>8337.9375844429742</v>
      </c>
      <c r="AG8" s="49">
        <f>QDG!AG5</f>
        <v>8590.9769574357906</v>
      </c>
      <c r="AH8" s="49">
        <f>QDG!AH5</f>
        <v>8839.6716509240687</v>
      </c>
      <c r="AI8" s="49">
        <f>QDG!AI5</f>
        <v>9082.9973055020982</v>
      </c>
      <c r="AJ8" s="49">
        <f>QDG!AJ5</f>
        <v>9319.9953758291649</v>
      </c>
      <c r="AK8" s="49">
        <f>QDG!AK5</f>
        <v>9550.0551918067849</v>
      </c>
      <c r="AL8" s="49">
        <f>QDG!AL5</f>
        <v>9701.3375828145981</v>
      </c>
    </row>
    <row r="9" spans="1:38" ht="18" customHeight="1">
      <c r="B9" s="48" t="s">
        <v>128</v>
      </c>
      <c r="C9" s="49">
        <f t="shared" si="0"/>
        <v>118007.43299671043</v>
      </c>
      <c r="D9" s="49">
        <f>QDG!D6</f>
        <v>0</v>
      </c>
      <c r="E9" s="49">
        <f>QDG!E6</f>
        <v>0</v>
      </c>
      <c r="F9" s="49">
        <f>QDG!F6</f>
        <v>1253.1911230646076</v>
      </c>
      <c r="G9" s="49">
        <f>QDG!G6</f>
        <v>1627.2656577488028</v>
      </c>
      <c r="H9" s="49">
        <f>QDG!H6</f>
        <v>1832.8592525095987</v>
      </c>
      <c r="I9" s="49">
        <f>QDG!I6</f>
        <v>1941.6619844264615</v>
      </c>
      <c r="J9" s="49">
        <f>QDG!J6</f>
        <v>1997.7421161210286</v>
      </c>
      <c r="K9" s="49">
        <f>QDG!K6</f>
        <v>2107.8618665356485</v>
      </c>
      <c r="L9" s="49">
        <f>QDG!L6</f>
        <v>2231.4620037592417</v>
      </c>
      <c r="M9" s="49">
        <f>QDG!M6</f>
        <v>2355.5632975926792</v>
      </c>
      <c r="N9" s="49">
        <f>QDG!N6</f>
        <v>2478.7223162814112</v>
      </c>
      <c r="O9" s="49">
        <f>QDG!O6</f>
        <v>2606.4343931772441</v>
      </c>
      <c r="P9" s="49">
        <f>QDG!P6</f>
        <v>2739.5638504893418</v>
      </c>
      <c r="Q9" s="49">
        <f>QDG!Q6</f>
        <v>2875.3354624334834</v>
      </c>
      <c r="R9" s="49">
        <f>QDG!R6</f>
        <v>2899.3650278247651</v>
      </c>
      <c r="S9" s="49">
        <f>QDG!S6</f>
        <v>3035.3644308997882</v>
      </c>
      <c r="T9" s="49">
        <f>QDG!T6</f>
        <v>3173.665029624382</v>
      </c>
      <c r="U9" s="49">
        <f>QDG!U6</f>
        <v>3314.2052806435622</v>
      </c>
      <c r="V9" s="49">
        <f>QDG!V6</f>
        <v>3456.9715718209482</v>
      </c>
      <c r="W9" s="49">
        <f>QDG!W6</f>
        <v>3604.0891493401641</v>
      </c>
      <c r="X9" s="49">
        <f>QDG!X6</f>
        <v>3757.5271085576478</v>
      </c>
      <c r="Y9" s="49">
        <f>QDG!Y6</f>
        <v>3912.1826781644891</v>
      </c>
      <c r="Z9" s="49">
        <f>QDG!Z6</f>
        <v>4067.8062669392625</v>
      </c>
      <c r="AA9" s="49">
        <f>QDG!AA6</f>
        <v>4224.105960301591</v>
      </c>
      <c r="AB9" s="49">
        <f>QDG!AB6</f>
        <v>4380.7630775510042</v>
      </c>
      <c r="AC9" s="49">
        <f>QDG!AC6</f>
        <v>4537.4091500142122</v>
      </c>
      <c r="AD9" s="49">
        <f>QDG!AD6</f>
        <v>4693.616180111645</v>
      </c>
      <c r="AE9" s="49">
        <f>QDG!AE6</f>
        <v>4848.9157715241618</v>
      </c>
      <c r="AF9" s="49">
        <f>QDG!AF6</f>
        <v>5002.7625506657841</v>
      </c>
      <c r="AG9" s="49">
        <f>QDG!AG6</f>
        <v>5154.586174461474</v>
      </c>
      <c r="AH9" s="49">
        <f>QDG!AH6</f>
        <v>5303.8029905544408</v>
      </c>
      <c r="AI9" s="49">
        <f>QDG!AI6</f>
        <v>5449.7983833012586</v>
      </c>
      <c r="AJ9" s="49">
        <f>QDG!AJ6</f>
        <v>5591.9972254974982</v>
      </c>
      <c r="AK9" s="49">
        <f>QDG!AK6</f>
        <v>5730.0331150840702</v>
      </c>
      <c r="AL9" s="49">
        <f>QDG!AL6</f>
        <v>5820.8025496887585</v>
      </c>
    </row>
    <row r="10" spans="1:38" ht="18" customHeight="1">
      <c r="B10" s="48" t="s">
        <v>129</v>
      </c>
      <c r="C10" s="49">
        <f t="shared" si="0"/>
        <v>25568.277149287263</v>
      </c>
      <c r="D10" s="49">
        <f>QDG!D7</f>
        <v>0</v>
      </c>
      <c r="E10" s="49">
        <f>QDG!E7</f>
        <v>0</v>
      </c>
      <c r="F10" s="49">
        <f>QDG!F7</f>
        <v>271.52474333066499</v>
      </c>
      <c r="G10" s="49">
        <f>QDG!G7</f>
        <v>352.57422584557395</v>
      </c>
      <c r="H10" s="49">
        <f>QDG!H7</f>
        <v>397.11950471041308</v>
      </c>
      <c r="I10" s="49">
        <f>QDG!I7</f>
        <v>420.69342995906663</v>
      </c>
      <c r="J10" s="49">
        <f>QDG!J7</f>
        <v>432.8441251595562</v>
      </c>
      <c r="K10" s="49">
        <f>QDG!K7</f>
        <v>456.7034044160572</v>
      </c>
      <c r="L10" s="49">
        <f>QDG!L7</f>
        <v>483.48343414783568</v>
      </c>
      <c r="M10" s="49">
        <f>QDG!M7</f>
        <v>510.37204781174711</v>
      </c>
      <c r="N10" s="49">
        <f>QDG!N7</f>
        <v>537.0565018609725</v>
      </c>
      <c r="O10" s="49">
        <f>QDG!O7</f>
        <v>564.7274518550696</v>
      </c>
      <c r="P10" s="49">
        <f>QDG!P7</f>
        <v>593.5721676060241</v>
      </c>
      <c r="Q10" s="49">
        <f>QDG!Q7</f>
        <v>622.98935019392138</v>
      </c>
      <c r="R10" s="49">
        <f>QDG!R7</f>
        <v>628.19575602869907</v>
      </c>
      <c r="S10" s="49">
        <f>QDG!S7</f>
        <v>657.66229336162075</v>
      </c>
      <c r="T10" s="49">
        <f>QDG!T7</f>
        <v>687.62742308528277</v>
      </c>
      <c r="U10" s="49">
        <f>QDG!U7</f>
        <v>718.07781080610505</v>
      </c>
      <c r="V10" s="49">
        <f>QDG!V7</f>
        <v>749.01050722787215</v>
      </c>
      <c r="W10" s="49">
        <f>QDG!W7</f>
        <v>780.88598235703557</v>
      </c>
      <c r="X10" s="49">
        <f>QDG!X7</f>
        <v>814.13087352082368</v>
      </c>
      <c r="Y10" s="49">
        <f>QDG!Y7</f>
        <v>847.63958026897262</v>
      </c>
      <c r="Z10" s="49">
        <f>QDG!Z7</f>
        <v>881.35802450350695</v>
      </c>
      <c r="AA10" s="49">
        <f>QDG!AA7</f>
        <v>915.22295806534476</v>
      </c>
      <c r="AB10" s="49">
        <f>QDG!AB7</f>
        <v>949.16533346938434</v>
      </c>
      <c r="AC10" s="49">
        <f>QDG!AC7</f>
        <v>983.10531583641261</v>
      </c>
      <c r="AD10" s="49">
        <f>QDG!AD7</f>
        <v>1016.950172357523</v>
      </c>
      <c r="AE10" s="49">
        <f>QDG!AE7</f>
        <v>1050.5984171635685</v>
      </c>
      <c r="AF10" s="49">
        <f>QDG!AF7</f>
        <v>1083.9318859775865</v>
      </c>
      <c r="AG10" s="49">
        <f>QDG!AG7</f>
        <v>1116.8270044666529</v>
      </c>
      <c r="AH10" s="49">
        <f>QDG!AH7</f>
        <v>1149.1573146201288</v>
      </c>
      <c r="AI10" s="49">
        <f>QDG!AI7</f>
        <v>1180.7896497152726</v>
      </c>
      <c r="AJ10" s="49">
        <f>QDG!AJ7</f>
        <v>1211.5993988577911</v>
      </c>
      <c r="AK10" s="49">
        <f>QDG!AK7</f>
        <v>1241.5071749348817</v>
      </c>
      <c r="AL10" s="49">
        <f>QDG!AL7</f>
        <v>1261.1738857658977</v>
      </c>
    </row>
    <row r="11" spans="1:38" ht="24.95" customHeight="1">
      <c r="B11" s="34" t="s">
        <v>75</v>
      </c>
      <c r="C11" s="41">
        <f t="shared" si="0"/>
        <v>3829248.6596250995</v>
      </c>
      <c r="D11" s="41">
        <f t="shared" ref="D11:AG11" si="3">D4-D7</f>
        <v>72192.175904472373</v>
      </c>
      <c r="E11" s="41">
        <f t="shared" si="3"/>
        <v>125033.78191144578</v>
      </c>
      <c r="F11" s="41">
        <f t="shared" si="3"/>
        <v>38159.669697317302</v>
      </c>
      <c r="G11" s="41">
        <f t="shared" si="3"/>
        <v>49550.239278451045</v>
      </c>
      <c r="H11" s="41">
        <f t="shared" si="3"/>
        <v>55810.564238917286</v>
      </c>
      <c r="I11" s="41">
        <f t="shared" si="3"/>
        <v>59123.607425785747</v>
      </c>
      <c r="J11" s="41">
        <f t="shared" si="3"/>
        <v>60831.247435885329</v>
      </c>
      <c r="K11" s="41">
        <f t="shared" si="3"/>
        <v>64184.393836010502</v>
      </c>
      <c r="L11" s="41">
        <f t="shared" si="3"/>
        <v>67948.018014468907</v>
      </c>
      <c r="M11" s="41">
        <f t="shared" si="3"/>
        <v>71726.902411697083</v>
      </c>
      <c r="N11" s="41">
        <f t="shared" si="3"/>
        <v>75477.094530768984</v>
      </c>
      <c r="O11" s="41">
        <f t="shared" si="3"/>
        <v>79365.927272247092</v>
      </c>
      <c r="P11" s="41">
        <f t="shared" si="3"/>
        <v>83419.71924740047</v>
      </c>
      <c r="Q11" s="41">
        <f t="shared" si="3"/>
        <v>87553.964831099569</v>
      </c>
      <c r="R11" s="41">
        <f t="shared" si="3"/>
        <v>90775.815429750917</v>
      </c>
      <c r="S11" s="41">
        <f t="shared" si="3"/>
        <v>92426.846920898563</v>
      </c>
      <c r="T11" s="41">
        <f t="shared" si="3"/>
        <v>105023.58461088201</v>
      </c>
      <c r="U11" s="41">
        <f t="shared" si="3"/>
        <v>100917.55079559647</v>
      </c>
      <c r="V11" s="41">
        <f t="shared" si="3"/>
        <v>105264.78436194788</v>
      </c>
      <c r="W11" s="41">
        <f t="shared" si="3"/>
        <v>109744.51459740799</v>
      </c>
      <c r="X11" s="41">
        <f t="shared" si="3"/>
        <v>114416.70045558039</v>
      </c>
      <c r="Y11" s="41">
        <f t="shared" si="3"/>
        <v>119125.96255010868</v>
      </c>
      <c r="Z11" s="41">
        <f t="shared" si="3"/>
        <v>123864.70082830056</v>
      </c>
      <c r="AA11" s="41">
        <f t="shared" si="3"/>
        <v>128624.02649118347</v>
      </c>
      <c r="AB11" s="41">
        <f t="shared" si="3"/>
        <v>133394.2357114281</v>
      </c>
      <c r="AC11" s="41">
        <f t="shared" si="3"/>
        <v>138164.10861793277</v>
      </c>
      <c r="AD11" s="41">
        <f t="shared" si="3"/>
        <v>142920.61268439959</v>
      </c>
      <c r="AE11" s="41">
        <f t="shared" si="3"/>
        <v>147649.48524291074</v>
      </c>
      <c r="AF11" s="41">
        <f t="shared" si="3"/>
        <v>152334.11966777314</v>
      </c>
      <c r="AG11" s="41">
        <f t="shared" si="3"/>
        <v>178492.97818760964</v>
      </c>
      <c r="AH11" s="41">
        <f>AH4-AH7</f>
        <v>161500.80106238273</v>
      </c>
      <c r="AI11" s="41">
        <f>AI4-AI7</f>
        <v>165946.36077152332</v>
      </c>
      <c r="AJ11" s="41">
        <f>AJ4-AJ7</f>
        <v>170276.31551639881</v>
      </c>
      <c r="AK11" s="41">
        <f>AK4-AK7</f>
        <v>174479.50835430995</v>
      </c>
      <c r="AL11" s="41">
        <f>AL4-AL7</f>
        <v>183528.3407308062</v>
      </c>
    </row>
    <row r="12" spans="1:38" ht="24.95" customHeight="1">
      <c r="B12" s="34" t="s">
        <v>84</v>
      </c>
      <c r="C12" s="41">
        <f t="shared" si="0"/>
        <v>1816892.1229315854</v>
      </c>
      <c r="D12" s="41">
        <f>SUM(D13:D22)</f>
        <v>85996.190286175886</v>
      </c>
      <c r="E12" s="41">
        <f t="shared" ref="E12:AL12" si="4">SUM(E13:E22)</f>
        <v>147953.62696179294</v>
      </c>
      <c r="F12" s="41">
        <f t="shared" si="4"/>
        <v>35694.346492486817</v>
      </c>
      <c r="G12" s="41">
        <f t="shared" si="4"/>
        <v>38306.020713280042</v>
      </c>
      <c r="H12" s="41">
        <f t="shared" si="4"/>
        <v>40147.465286505016</v>
      </c>
      <c r="I12" s="41">
        <f t="shared" si="4"/>
        <v>39849.339555543316</v>
      </c>
      <c r="J12" s="41">
        <f t="shared" si="4"/>
        <v>39810.109973602266</v>
      </c>
      <c r="K12" s="41">
        <f t="shared" si="4"/>
        <v>40419.280470185957</v>
      </c>
      <c r="L12" s="41">
        <f t="shared" si="4"/>
        <v>40051.254786278041</v>
      </c>
      <c r="M12" s="41">
        <f t="shared" si="4"/>
        <v>39971.254982999431</v>
      </c>
      <c r="N12" s="41">
        <f t="shared" si="4"/>
        <v>37785.889883973032</v>
      </c>
      <c r="O12" s="41">
        <f t="shared" si="4"/>
        <v>38986.011543195942</v>
      </c>
      <c r="P12" s="41">
        <f t="shared" si="4"/>
        <v>40181.75285621683</v>
      </c>
      <c r="Q12" s="41">
        <f t="shared" si="4"/>
        <v>42574.675129682553</v>
      </c>
      <c r="R12" s="41">
        <f t="shared" si="4"/>
        <v>47694.99311914781</v>
      </c>
      <c r="S12" s="41">
        <f t="shared" si="4"/>
        <v>46845.154409199851</v>
      </c>
      <c r="T12" s="41">
        <f t="shared" si="4"/>
        <v>54448.631189443739</v>
      </c>
      <c r="U12" s="41">
        <f t="shared" si="4"/>
        <v>47279.356433930836</v>
      </c>
      <c r="V12" s="41">
        <f t="shared" si="4"/>
        <v>44181.332514091533</v>
      </c>
      <c r="W12" s="41">
        <f t="shared" si="4"/>
        <v>44215.841464274286</v>
      </c>
      <c r="X12" s="41">
        <f t="shared" si="4"/>
        <v>46421.235046476591</v>
      </c>
      <c r="Y12" s="41">
        <f t="shared" si="4"/>
        <v>47610.543493740908</v>
      </c>
      <c r="Z12" s="41">
        <f t="shared" si="4"/>
        <v>48712.436153710143</v>
      </c>
      <c r="AA12" s="41">
        <f t="shared" si="4"/>
        <v>51036.768330420993</v>
      </c>
      <c r="AB12" s="41">
        <f t="shared" si="4"/>
        <v>51773.728741814091</v>
      </c>
      <c r="AC12" s="41">
        <f t="shared" si="4"/>
        <v>52028.690631742873</v>
      </c>
      <c r="AD12" s="41">
        <f t="shared" si="4"/>
        <v>49805.150493652487</v>
      </c>
      <c r="AE12" s="41">
        <f t="shared" si="4"/>
        <v>50861.601318356094</v>
      </c>
      <c r="AF12" s="41">
        <f t="shared" si="4"/>
        <v>50932.893008384082</v>
      </c>
      <c r="AG12" s="41">
        <f t="shared" si="4"/>
        <v>71850.840742914093</v>
      </c>
      <c r="AH12" s="41">
        <f t="shared" si="4"/>
        <v>56647.719662609947</v>
      </c>
      <c r="AI12" s="41">
        <f t="shared" si="4"/>
        <v>58178.831850060204</v>
      </c>
      <c r="AJ12" s="41">
        <f t="shared" si="4"/>
        <v>57404.555746093341</v>
      </c>
      <c r="AK12" s="41">
        <f t="shared" si="4"/>
        <v>59288.72669836547</v>
      </c>
      <c r="AL12" s="41">
        <f t="shared" si="4"/>
        <v>71945.872961237576</v>
      </c>
    </row>
    <row r="13" spans="1:38" ht="18" customHeight="1">
      <c r="B13" s="48" t="s">
        <v>85</v>
      </c>
      <c r="C13" s="49">
        <f t="shared" si="0"/>
        <v>555533.45537539967</v>
      </c>
      <c r="D13" s="49">
        <f>QDD!D4</f>
        <v>7455.8457163747034</v>
      </c>
      <c r="E13" s="49">
        <f>QDD!E4</f>
        <v>9922.863516580006</v>
      </c>
      <c r="F13" s="49">
        <f>QDD!F4</f>
        <v>12321.595480450731</v>
      </c>
      <c r="G13" s="49">
        <f>QDD!G4</f>
        <v>12682.523364228677</v>
      </c>
      <c r="H13" s="49">
        <f>QDD!H4</f>
        <v>12761.712849421538</v>
      </c>
      <c r="I13" s="49">
        <f>QDD!I4</f>
        <v>12875.347534140599</v>
      </c>
      <c r="J13" s="49">
        <f>QDD!J4</f>
        <v>12979.233453086083</v>
      </c>
      <c r="K13" s="49">
        <f>QDD!K4</f>
        <v>13082.453213821447</v>
      </c>
      <c r="L13" s="49">
        <f>QDD!L4</f>
        <v>13400.647708165157</v>
      </c>
      <c r="M13" s="49">
        <f>QDD!M4</f>
        <v>13506.805895015372</v>
      </c>
      <c r="N13" s="49">
        <f>QDD!N4</f>
        <v>13683.354426034399</v>
      </c>
      <c r="O13" s="49">
        <f>QDD!O4</f>
        <v>13859.607490079939</v>
      </c>
      <c r="P13" s="49">
        <f>QDD!P4</f>
        <v>14034.809669827671</v>
      </c>
      <c r="Q13" s="49">
        <f>QDD!Q4</f>
        <v>14208.340441234743</v>
      </c>
      <c r="R13" s="49">
        <f>QDD!R4</f>
        <v>14811.531761109753</v>
      </c>
      <c r="S13" s="49">
        <f>QDD!S4</f>
        <v>15504.440541601485</v>
      </c>
      <c r="T13" s="49">
        <f>QDD!T4</f>
        <v>15681.048116952637</v>
      </c>
      <c r="U13" s="49">
        <f>QDD!U4</f>
        <v>15854.650121104696</v>
      </c>
      <c r="V13" s="49">
        <f>QDD!V4</f>
        <v>16025.393135193557</v>
      </c>
      <c r="W13" s="49">
        <f>QDD!W4</f>
        <v>16195.890416402099</v>
      </c>
      <c r="X13" s="49">
        <f>QDD!X4</f>
        <v>17486.588340631086</v>
      </c>
      <c r="Y13" s="49">
        <f>QDD!Y4</f>
        <v>17724.098651725501</v>
      </c>
      <c r="Z13" s="49">
        <f>QDD!Z4</f>
        <v>17956.765442127107</v>
      </c>
      <c r="AA13" s="49">
        <f>QDD!AA4</f>
        <v>18184.45332274575</v>
      </c>
      <c r="AB13" s="49">
        <f>QDD!AB4</f>
        <v>18407.004305323651</v>
      </c>
      <c r="AC13" s="49">
        <f>QDD!AC4</f>
        <v>18624.207794792401</v>
      </c>
      <c r="AD13" s="49">
        <f>QDD!AD4</f>
        <v>18835.79255388027</v>
      </c>
      <c r="AE13" s="49">
        <f>QDD!AE4</f>
        <v>19041.457643620968</v>
      </c>
      <c r="AF13" s="49">
        <f>QDD!AF4</f>
        <v>19240.826766946637</v>
      </c>
      <c r="AG13" s="49">
        <f>QDD!AG4</f>
        <v>19433.520296761293</v>
      </c>
      <c r="AH13" s="49">
        <f>QDD!AH4</f>
        <v>19619.167915325561</v>
      </c>
      <c r="AI13" s="49">
        <f>QDD!AI4</f>
        <v>19797.383750828383</v>
      </c>
      <c r="AJ13" s="49">
        <f>QDD!AJ4</f>
        <v>19967.8495920323</v>
      </c>
      <c r="AK13" s="49">
        <f>QDD!AK4</f>
        <v>20130.505674329655</v>
      </c>
      <c r="AL13" s="49">
        <f>QDD!AL4</f>
        <v>20235.738473503752</v>
      </c>
    </row>
    <row r="14" spans="1:38" ht="18" customHeight="1">
      <c r="B14" s="48" t="s">
        <v>108</v>
      </c>
      <c r="C14" s="49">
        <f t="shared" si="0"/>
        <v>175094.08766201604</v>
      </c>
      <c r="D14" s="49">
        <f>QDD!D11</f>
        <v>532.38852659932547</v>
      </c>
      <c r="E14" s="49">
        <f>QDD!E11</f>
        <v>2378.4067906892178</v>
      </c>
      <c r="F14" s="49">
        <f>QDD!F11</f>
        <v>3046.9095942757403</v>
      </c>
      <c r="G14" s="49">
        <f>QDD!G11</f>
        <v>3216.6593345233232</v>
      </c>
      <c r="H14" s="49">
        <f>QDD!H11</f>
        <v>4358.5917987597431</v>
      </c>
      <c r="I14" s="49">
        <f>QDD!I11</f>
        <v>4397.402200679544</v>
      </c>
      <c r="J14" s="49">
        <f>QDD!J11</f>
        <v>4432.8830424493799</v>
      </c>
      <c r="K14" s="49">
        <f>QDD!K11</f>
        <v>4468.1363668204503</v>
      </c>
      <c r="L14" s="49">
        <f>QDD!L11</f>
        <v>4503.7080523759996</v>
      </c>
      <c r="M14" s="49">
        <f>QDD!M11</f>
        <v>4539.3878566308413</v>
      </c>
      <c r="N14" s="49">
        <f>QDD!N11</f>
        <v>4598.7133687048117</v>
      </c>
      <c r="O14" s="49">
        <f>QDD!O11</f>
        <v>4887.5531848316696</v>
      </c>
      <c r="P14" s="49">
        <f>QDD!P11</f>
        <v>4949.3377607822076</v>
      </c>
      <c r="Q14" s="49">
        <f>QDD!Q11</f>
        <v>5010.5329190912707</v>
      </c>
      <c r="R14" s="49">
        <f>QDD!R11</f>
        <v>5070.9497605854531</v>
      </c>
      <c r="S14" s="49">
        <f>QDD!S11</f>
        <v>5130.4150343475194</v>
      </c>
      <c r="T14" s="49">
        <f>QDD!T11</f>
        <v>5188.854431585366</v>
      </c>
      <c r="U14" s="49">
        <f>QDD!U11</f>
        <v>5246.2992861549201</v>
      </c>
      <c r="V14" s="49">
        <f>QDD!V11</f>
        <v>5302.7981017130096</v>
      </c>
      <c r="W14" s="49">
        <f>QDD!W11</f>
        <v>5359.2156043298</v>
      </c>
      <c r="X14" s="49">
        <f>QDD!X11</f>
        <v>5434.5082326517668</v>
      </c>
      <c r="Y14" s="49">
        <f>QDD!Y11</f>
        <v>5508.3220444622248</v>
      </c>
      <c r="Z14" s="49">
        <f>QDD!Z11</f>
        <v>5580.6305796248107</v>
      </c>
      <c r="AA14" s="49">
        <f>QDD!AA11</f>
        <v>5651.3917617143979</v>
      </c>
      <c r="AB14" s="49">
        <f>QDD!AB11</f>
        <v>5720.5564909025434</v>
      </c>
      <c r="AC14" s="49">
        <f>QDD!AC11</f>
        <v>5788.059318137055</v>
      </c>
      <c r="AD14" s="49">
        <f>QDD!AD11</f>
        <v>5853.81594789055</v>
      </c>
      <c r="AE14" s="49">
        <f>QDD!AE11</f>
        <v>5917.7328538983302</v>
      </c>
      <c r="AF14" s="49">
        <f>QDD!AF11</f>
        <v>5979.6930899915205</v>
      </c>
      <c r="AG14" s="49">
        <f>QDD!AG11</f>
        <v>6039.5786750900879</v>
      </c>
      <c r="AH14" s="49">
        <f>QDD!AH11</f>
        <v>6097.2745212898553</v>
      </c>
      <c r="AI14" s="49">
        <f>QDD!AI11</f>
        <v>6152.6607067688492</v>
      </c>
      <c r="AJ14" s="49">
        <f>QDD!AJ11</f>
        <v>6205.638337359951</v>
      </c>
      <c r="AK14" s="49">
        <f>QDD!AK11</f>
        <v>6256.1888393284753</v>
      </c>
      <c r="AL14" s="49">
        <f>QDD!AL11</f>
        <v>6288.8932469760093</v>
      </c>
    </row>
    <row r="15" spans="1:38" ht="18" customHeight="1">
      <c r="B15" s="48" t="s">
        <v>109</v>
      </c>
      <c r="C15" s="49">
        <f t="shared" si="0"/>
        <v>21896.667300547972</v>
      </c>
      <c r="D15" s="50">
        <f>QDD!D16</f>
        <v>118.76522981437165</v>
      </c>
      <c r="E15" s="50">
        <f>QDD!E16</f>
        <v>197.05582360801702</v>
      </c>
      <c r="F15" s="50">
        <f>QDD!F16</f>
        <v>303.8858281125481</v>
      </c>
      <c r="G15" s="50">
        <f>QDD!G16</f>
        <v>687.68298373774769</v>
      </c>
      <c r="H15" s="50">
        <f>QDD!H16</f>
        <v>571.60816320478921</v>
      </c>
      <c r="I15" s="50">
        <f>QDD!I16</f>
        <v>695.89063470170402</v>
      </c>
      <c r="J15" s="50">
        <f>QDD!J16</f>
        <v>640.86064606995956</v>
      </c>
      <c r="K15" s="50">
        <f>QDD!K16</f>
        <v>543.2823971160982</v>
      </c>
      <c r="L15" s="50">
        <f>QDD!L16</f>
        <v>723.73892834590288</v>
      </c>
      <c r="M15" s="50">
        <f>QDD!M16</f>
        <v>636.03212685933693</v>
      </c>
      <c r="N15" s="50">
        <f>QDD!N16</f>
        <v>628.52976744456009</v>
      </c>
      <c r="O15" s="50">
        <f>QDD!O16</f>
        <v>637.88683734361905</v>
      </c>
      <c r="P15" s="50">
        <f>QDD!P16</f>
        <v>643.852989950081</v>
      </c>
      <c r="Q15" s="50">
        <f>QDD!Q16</f>
        <v>543.42308677105757</v>
      </c>
      <c r="R15" s="50">
        <f>QDD!R16</f>
        <v>566.04252592195132</v>
      </c>
      <c r="S15" s="50">
        <f>QDD!S16</f>
        <v>574.35477704955088</v>
      </c>
      <c r="T15" s="50">
        <f>QDD!T16</f>
        <v>596.7400435757861</v>
      </c>
      <c r="U15" s="50">
        <f>QDD!U16</f>
        <v>603.3464430173226</v>
      </c>
      <c r="V15" s="50">
        <f>QDD!V16</f>
        <v>609.84404400086248</v>
      </c>
      <c r="W15" s="50">
        <f>QDD!W16</f>
        <v>616.33229365478348</v>
      </c>
      <c r="X15" s="50">
        <f>QDD!X16</f>
        <v>647.42749585441584</v>
      </c>
      <c r="Y15" s="50">
        <f>QDD!Y16</f>
        <v>673.03947143242544</v>
      </c>
      <c r="Z15" s="50">
        <f>QDD!Z16</f>
        <v>681.87455730668125</v>
      </c>
      <c r="AA15" s="50">
        <f>QDD!AA16</f>
        <v>690.5205784011431</v>
      </c>
      <c r="AB15" s="50">
        <f>QDD!AB16</f>
        <v>698.97153540743443</v>
      </c>
      <c r="AC15" s="50">
        <f>QDD!AC16</f>
        <v>689.54698194831383</v>
      </c>
      <c r="AD15" s="50">
        <f>QDD!AD16</f>
        <v>715.25396656716441</v>
      </c>
      <c r="AE15" s="50">
        <f>QDD!AE16</f>
        <v>723.06371339892803</v>
      </c>
      <c r="AF15" s="50">
        <f>QDD!AF16</f>
        <v>730.63438269048004</v>
      </c>
      <c r="AG15" s="50">
        <f>QDD!AG16</f>
        <v>737.95155881341248</v>
      </c>
      <c r="AH15" s="50">
        <f>QDD!AH16</f>
        <v>726.38461584028551</v>
      </c>
      <c r="AI15" s="50">
        <f>QDD!AI16</f>
        <v>751.76859242459989</v>
      </c>
      <c r="AJ15" s="50">
        <f>QDD!AJ16</f>
        <v>758.24171367694612</v>
      </c>
      <c r="AK15" s="50">
        <f>QDD!AK16</f>
        <v>764.41827395263738</v>
      </c>
      <c r="AL15" s="50">
        <f>QDD!AL16</f>
        <v>768.41429253305728</v>
      </c>
    </row>
    <row r="16" spans="1:38" ht="18" customHeight="1">
      <c r="B16" s="48" t="s">
        <v>110</v>
      </c>
      <c r="C16" s="49">
        <f t="shared" si="0"/>
        <v>70141.1622150115</v>
      </c>
      <c r="D16" s="49">
        <f>QDD!D24</f>
        <v>562.10918400000014</v>
      </c>
      <c r="E16" s="49">
        <f>QDD!E24</f>
        <v>1294.3371770228121</v>
      </c>
      <c r="F16" s="49">
        <f>QDD!F24</f>
        <v>1598.1340522373409</v>
      </c>
      <c r="G16" s="49">
        <f>QDD!G24</f>
        <v>1643.1975143773714</v>
      </c>
      <c r="H16" s="49">
        <f>QDD!H24</f>
        <v>1661.3973569961843</v>
      </c>
      <c r="I16" s="49">
        <f>QDD!I24</f>
        <v>1684.4760694446877</v>
      </c>
      <c r="J16" s="49">
        <f>QDD!J24</f>
        <v>1706.6612181419064</v>
      </c>
      <c r="K16" s="49">
        <f>QDD!K24</f>
        <v>1729.0999239654764</v>
      </c>
      <c r="L16" s="49">
        <f>QDD!L24</f>
        <v>1751.9636027797314</v>
      </c>
      <c r="M16" s="49">
        <f>QDD!M24</f>
        <v>1775.126297032225</v>
      </c>
      <c r="N16" s="49">
        <f>QDD!N24</f>
        <v>1807.7967962140203</v>
      </c>
      <c r="O16" s="49">
        <f>QDD!O24</f>
        <v>1840.6791721804709</v>
      </c>
      <c r="P16" s="49">
        <f>QDD!P24</f>
        <v>1873.6127142145867</v>
      </c>
      <c r="Q16" s="49">
        <f>QDD!Q24</f>
        <v>1906.4481506855027</v>
      </c>
      <c r="R16" s="49">
        <f>QDD!R24</f>
        <v>1939.042149555642</v>
      </c>
      <c r="S16" s="49">
        <f>QDD!S24</f>
        <v>1971.2530383583849</v>
      </c>
      <c r="T16" s="49">
        <f>QDD!T24</f>
        <v>2002.9741368200482</v>
      </c>
      <c r="U16" s="49">
        <f>QDD!U24</f>
        <v>2034.1383319374229</v>
      </c>
      <c r="V16" s="49">
        <f>QDD!V24</f>
        <v>2064.6856106342325</v>
      </c>
      <c r="W16" s="49">
        <f>QDD!W24</f>
        <v>2094.87657996189</v>
      </c>
      <c r="X16" s="49">
        <f>QDD!X24</f>
        <v>2132.0768613663517</v>
      </c>
      <c r="Y16" s="49">
        <f>QDD!Y24</f>
        <v>2168.2804947669665</v>
      </c>
      <c r="Z16" s="49">
        <f>QDD!Z24</f>
        <v>2203.3999793672383</v>
      </c>
      <c r="AA16" s="49">
        <f>QDD!AA24</f>
        <v>2237.3464964119662</v>
      </c>
      <c r="AB16" s="49">
        <f>QDD!AB24</f>
        <v>2270.0342245849902</v>
      </c>
      <c r="AC16" s="49">
        <f>QDD!AC24</f>
        <v>2301.3774947374854</v>
      </c>
      <c r="AD16" s="49">
        <f>QDD!AD24</f>
        <v>2331.290518612358</v>
      </c>
      <c r="AE16" s="49">
        <f>QDD!AE24</f>
        <v>2359.6918382708609</v>
      </c>
      <c r="AF16" s="49">
        <f>QDD!AF24</f>
        <v>2386.4991895008138</v>
      </c>
      <c r="AG16" s="49">
        <f>QDD!AG24</f>
        <v>2411.6388183547347</v>
      </c>
      <c r="AH16" s="49">
        <f>QDD!AH24</f>
        <v>2435.9169870672567</v>
      </c>
      <c r="AI16" s="49">
        <f>QDD!AI24</f>
        <v>2459.2839591489887</v>
      </c>
      <c r="AJ16" s="49">
        <f>QDD!AJ24</f>
        <v>2481.6983315384309</v>
      </c>
      <c r="AK16" s="49">
        <f>QDD!AK24</f>
        <v>2503.1507817866095</v>
      </c>
      <c r="AL16" s="49">
        <f>QDD!AL24</f>
        <v>2517.4671629365248</v>
      </c>
    </row>
    <row r="17" spans="1:38" ht="18" customHeight="1">
      <c r="A17" t="s">
        <v>373</v>
      </c>
      <c r="B17" s="208" t="s">
        <v>111</v>
      </c>
      <c r="C17" s="49">
        <f t="shared" si="0"/>
        <v>439755.26971656579</v>
      </c>
      <c r="D17" s="161">
        <f>QDD!D30+SUM(QDF!E4:E5)</f>
        <v>75652.133128787566</v>
      </c>
      <c r="E17" s="49">
        <f>QDD!E30+SUM(QDF!F4:F5)</f>
        <v>128350.51113418447</v>
      </c>
      <c r="F17" s="161">
        <f>QDD!F30+SUM(QDF!G4:G5)</f>
        <v>4242.2781619012985</v>
      </c>
      <c r="G17" s="161">
        <f>QDD!G30+SUM(QDF!H4:H5)</f>
        <v>4786.2298379275198</v>
      </c>
      <c r="H17" s="161">
        <f>QDD!H30+SUM(QDF!I4:I5)</f>
        <v>4930.9333308119467</v>
      </c>
      <c r="I17" s="161">
        <f>QDD!I30+SUM(QDF!J4:J5)</f>
        <v>4936.8541205315132</v>
      </c>
      <c r="J17" s="161">
        <f>QDD!J30+SUM(QDF!K4:K5)</f>
        <v>4965.7241270830964</v>
      </c>
      <c r="K17" s="161">
        <f>QDD!K30+SUM(QDF!L4:L5)</f>
        <v>5061.284991843605</v>
      </c>
      <c r="L17" s="161">
        <f>QDD!L30+SUM(QDF!M4:M5)</f>
        <v>5109.5328601337969</v>
      </c>
      <c r="M17" s="161">
        <f>QDD!M30+SUM(QDF!N4:N5)</f>
        <v>5201.3323989291948</v>
      </c>
      <c r="N17" s="161">
        <f>QDD!N30+SUM(QDF!O4:O5)</f>
        <v>5265.4839318013637</v>
      </c>
      <c r="O17" s="161">
        <f>QDD!O30+SUM(QDF!P4:P5)</f>
        <v>5329.3540538656125</v>
      </c>
      <c r="P17" s="161">
        <f>QDD!P30+SUM(QDF!Q4:Q5)</f>
        <v>5386.3972891631192</v>
      </c>
      <c r="Q17" s="161">
        <f>QDD!Q30+SUM(QDF!R4:R5)</f>
        <v>5514.0018512131155</v>
      </c>
      <c r="R17" s="161">
        <f>QDD!R30+SUM(QDF!S4:S5)</f>
        <v>8076.7366857134066</v>
      </c>
      <c r="S17" s="161">
        <f>QDD!S30+SUM(QDF!T4:T5)</f>
        <v>5653.4192457540357</v>
      </c>
      <c r="T17" s="161">
        <f>QDD!T30+SUM(QDF!U4:U5)</f>
        <v>13917.722278182997</v>
      </c>
      <c r="U17" s="161">
        <f>QDD!U30+SUM(QDF!V4:V5)</f>
        <v>5846.3947932214041</v>
      </c>
      <c r="V17" s="161">
        <f>QDD!V30+SUM(QDF!W4:W5)</f>
        <v>5900.8074621785472</v>
      </c>
      <c r="W17" s="161">
        <f>QDD!W30+SUM(QDF!X4:X5)</f>
        <v>6100.4805918775555</v>
      </c>
      <c r="X17" s="161">
        <f>QDD!X30+SUM(QDF!Y4:Y5)</f>
        <v>6160.9188827995777</v>
      </c>
      <c r="Y17" s="161">
        <f>QDD!Y30+SUM(QDF!Z4:Z5)</f>
        <v>6235.1417213526738</v>
      </c>
      <c r="Z17" s="161">
        <f>QDD!Z30+SUM(QDF!AA4:AA5)</f>
        <v>6386.7981585723001</v>
      </c>
      <c r="AA17" s="161">
        <f>QDD!AA30+SUM(QDF!AB4:AB5)</f>
        <v>6464.5095047149462</v>
      </c>
      <c r="AB17" s="161">
        <f>QDD!AB30+SUM(QDF!AC4:AC5)</f>
        <v>6606.5327325414219</v>
      </c>
      <c r="AC17" s="161">
        <f>QDD!AC30+SUM(QDF!AD4:AD5)</f>
        <v>6678.8811604938846</v>
      </c>
      <c r="AD17" s="161">
        <f>QDD!AD30+SUM(QDF!AE4:AE5)</f>
        <v>6748.594355543104</v>
      </c>
      <c r="AE17" s="161">
        <f>QDD!AE30+SUM(QDF!AF4:AF5)</f>
        <v>6807.8273470165968</v>
      </c>
      <c r="AF17" s="161">
        <f>QDD!AF30+SUM(QDF!AG4:AG5)</f>
        <v>6949.1795984253249</v>
      </c>
      <c r="AG17" s="161">
        <f>QDD!AG30+SUM(QDF!AH4:AH5)</f>
        <v>27978.76578215351</v>
      </c>
      <c r="AH17" s="161">
        <f>QDD!AH30+SUM(QDF!AI4:AI5)</f>
        <v>7067.2501157482529</v>
      </c>
      <c r="AI17" s="161">
        <f>QDD!AI30+SUM(QDF!AJ4:AJ5)</f>
        <v>7208.8814446938477</v>
      </c>
      <c r="AJ17" s="161">
        <f>QDD!AJ30+SUM(QDF!AK4:AK5)</f>
        <v>7268.9418525413548</v>
      </c>
      <c r="AK17" s="161">
        <f>QDD!AK30+SUM(QDF!AL4:AL5)</f>
        <v>7318.3359002576935</v>
      </c>
      <c r="AL17" s="161">
        <f>QDD!AL30+SUM(QDF!AM4:AM5)</f>
        <v>13647.098884606217</v>
      </c>
    </row>
    <row r="18" spans="1:38" ht="18" customHeight="1">
      <c r="B18" s="48" t="s">
        <v>112</v>
      </c>
      <c r="C18" s="49">
        <f t="shared" si="0"/>
        <v>39624.86207868177</v>
      </c>
      <c r="D18" s="49">
        <f>QDD!D38</f>
        <v>579.04000690985606</v>
      </c>
      <c r="E18" s="49">
        <f>QDD!E38</f>
        <v>778.78878617912414</v>
      </c>
      <c r="F18" s="49">
        <f>QDD!F38</f>
        <v>879.63322463950726</v>
      </c>
      <c r="G18" s="49">
        <f>QDD!G38</f>
        <v>893.83273721416685</v>
      </c>
      <c r="H18" s="49">
        <f>QDD!H38</f>
        <v>906.83351919633242</v>
      </c>
      <c r="I18" s="49">
        <f>QDD!I38</f>
        <v>921.04600512168372</v>
      </c>
      <c r="J18" s="49">
        <f>QDD!J38</f>
        <v>936.10340478264834</v>
      </c>
      <c r="K18" s="49">
        <f>QDD!K38</f>
        <v>951.2715480503432</v>
      </c>
      <c r="L18" s="49">
        <f>QDD!L38</f>
        <v>967.99058941989756</v>
      </c>
      <c r="M18" s="49">
        <f>QDD!M38</f>
        <v>986.05011758016906</v>
      </c>
      <c r="N18" s="49">
        <f>QDD!N38</f>
        <v>1001.5359353221106</v>
      </c>
      <c r="O18" s="49">
        <f>QDD!O38</f>
        <v>1019.8172003951441</v>
      </c>
      <c r="P18" s="49">
        <f>QDD!P38</f>
        <v>1033.2780031771067</v>
      </c>
      <c r="Q18" s="49">
        <f>QDD!Q38</f>
        <v>1047.3219420474807</v>
      </c>
      <c r="R18" s="49">
        <f>QDD!R38</f>
        <v>1084.4847415249133</v>
      </c>
      <c r="S18" s="49">
        <f>QDD!S38</f>
        <v>1101.5342917789808</v>
      </c>
      <c r="T18" s="49">
        <f>QDD!T38</f>
        <v>1121.95822773891</v>
      </c>
      <c r="U18" s="49">
        <f>QDD!U38</f>
        <v>1137.9216847013745</v>
      </c>
      <c r="V18" s="49">
        <f>QDD!V38</f>
        <v>1154.565801921568</v>
      </c>
      <c r="W18" s="49">
        <f>QDD!W38</f>
        <v>1171.1086484229825</v>
      </c>
      <c r="X18" s="49">
        <f>QDD!X38</f>
        <v>1186.1296841306043</v>
      </c>
      <c r="Y18" s="49">
        <f>QDD!Y38</f>
        <v>1208.2154799665514</v>
      </c>
      <c r="Z18" s="49">
        <f>QDD!Z38</f>
        <v>1225.1143614668986</v>
      </c>
      <c r="AA18" s="49">
        <f>QDD!AA38</f>
        <v>1242.9716362817953</v>
      </c>
      <c r="AB18" s="49">
        <f>QDD!AB38</f>
        <v>1284.2717199999995</v>
      </c>
      <c r="AC18" s="49">
        <f>QDD!AC38</f>
        <v>1301.1084112932538</v>
      </c>
      <c r="AD18" s="49">
        <f>QDD!AD38</f>
        <v>1319.71243838908</v>
      </c>
      <c r="AE18" s="49">
        <f>QDD!AE38</f>
        <v>1333.2013257440817</v>
      </c>
      <c r="AF18" s="49">
        <f>QDD!AF38</f>
        <v>1348.5551039311451</v>
      </c>
      <c r="AG18" s="49">
        <f>QDD!AG38</f>
        <v>1368.3792121635672</v>
      </c>
      <c r="AH18" s="49">
        <f>QDD!AH38</f>
        <v>1384.8390741992059</v>
      </c>
      <c r="AI18" s="49">
        <f>QDD!AI38</f>
        <v>1409.3861456392517</v>
      </c>
      <c r="AJ18" s="49">
        <f>QDD!AJ38</f>
        <v>1428.4232745670618</v>
      </c>
      <c r="AK18" s="49">
        <f>QDD!AK38</f>
        <v>1443.9369527639187</v>
      </c>
      <c r="AL18" s="49">
        <f>QDD!AL38</f>
        <v>1466.5008420210522</v>
      </c>
    </row>
    <row r="19" spans="1:38" ht="18" customHeight="1">
      <c r="B19" s="32" t="s">
        <v>113</v>
      </c>
      <c r="C19" s="49">
        <f t="shared" si="0"/>
        <v>31457.211819628668</v>
      </c>
      <c r="D19" s="49">
        <f>QDD!D43</f>
        <v>0</v>
      </c>
      <c r="E19" s="49">
        <f>QDD!E43</f>
        <v>0</v>
      </c>
      <c r="F19" s="49">
        <f>QDD!F43</f>
        <v>0</v>
      </c>
      <c r="G19" s="49">
        <f>QDD!G43</f>
        <v>177.2835071616953</v>
      </c>
      <c r="H19" s="49">
        <f>QDD!H43</f>
        <v>34.353098634574515</v>
      </c>
      <c r="I19" s="49">
        <f>QDD!I43</f>
        <v>120.20703301452086</v>
      </c>
      <c r="J19" s="49">
        <f>QDD!J43</f>
        <v>652.98667391136951</v>
      </c>
      <c r="K19" s="49">
        <f>QDD!K43</f>
        <v>1003.0068002534191</v>
      </c>
      <c r="L19" s="49">
        <f>QDD!L43</f>
        <v>1192.0338393047221</v>
      </c>
      <c r="M19" s="49">
        <f>QDD!M43</f>
        <v>1047.1305512858844</v>
      </c>
      <c r="N19" s="49">
        <f>QDD!N43</f>
        <v>807.3888863214562</v>
      </c>
      <c r="O19" s="49">
        <f>QDD!O43</f>
        <v>587.27278727656676</v>
      </c>
      <c r="P19" s="49">
        <f>QDD!P43</f>
        <v>805.42256776777288</v>
      </c>
      <c r="Q19" s="49">
        <f>QDD!Q43</f>
        <v>1137.733003395304</v>
      </c>
      <c r="R19" s="49">
        <f>QDD!R43</f>
        <v>1137.733003395304</v>
      </c>
      <c r="S19" s="49">
        <f>QDD!S43</f>
        <v>1137.733003395304</v>
      </c>
      <c r="T19" s="49">
        <f>QDD!T43</f>
        <v>1137.733003395304</v>
      </c>
      <c r="U19" s="49">
        <f>QDD!U43</f>
        <v>1137.733003395304</v>
      </c>
      <c r="V19" s="49">
        <f>QDD!V43</f>
        <v>1137.733003395304</v>
      </c>
      <c r="W19" s="49">
        <f>QDD!W43</f>
        <v>1137.733003395304</v>
      </c>
      <c r="X19" s="49">
        <f>QDD!X43</f>
        <v>1137.733003395304</v>
      </c>
      <c r="Y19" s="49">
        <f>QDD!Y43</f>
        <v>1137.733003395304</v>
      </c>
      <c r="Z19" s="49">
        <f>QDD!Z43</f>
        <v>1137.733003395304</v>
      </c>
      <c r="AA19" s="49">
        <f>QDD!AA43</f>
        <v>1137.733003395304</v>
      </c>
      <c r="AB19" s="49">
        <f>QDD!AB43</f>
        <v>1137.733003395304</v>
      </c>
      <c r="AC19" s="49">
        <f>QDD!AC43</f>
        <v>1137.733003395304</v>
      </c>
      <c r="AD19" s="49">
        <f>QDD!AD43</f>
        <v>1137.733003395304</v>
      </c>
      <c r="AE19" s="49">
        <f>QDD!AE43</f>
        <v>1137.733003395304</v>
      </c>
      <c r="AF19" s="49">
        <f>QDD!AF43</f>
        <v>1137.733003395304</v>
      </c>
      <c r="AG19" s="49">
        <f>QDD!AG43</f>
        <v>1137.733003395304</v>
      </c>
      <c r="AH19" s="49">
        <f>QDD!AH43</f>
        <v>1137.733003395304</v>
      </c>
      <c r="AI19" s="49">
        <f>QDD!AI43</f>
        <v>1137.733003395304</v>
      </c>
      <c r="AJ19" s="49">
        <f>QDD!AJ43</f>
        <v>1137.733003395304</v>
      </c>
      <c r="AK19" s="49">
        <f>QDD!AK43</f>
        <v>1137.733003395304</v>
      </c>
      <c r="AL19" s="49">
        <f>QDD!AL43</f>
        <v>1137.733003395304</v>
      </c>
    </row>
    <row r="20" spans="1:38" ht="18" customHeight="1">
      <c r="B20" s="32" t="s">
        <v>399</v>
      </c>
      <c r="C20" s="49">
        <f t="shared" si="0"/>
        <v>165139.86915065369</v>
      </c>
      <c r="D20" s="49">
        <f>QDD!D46</f>
        <v>0</v>
      </c>
      <c r="E20" s="49">
        <f>QDD!E46</f>
        <v>0</v>
      </c>
      <c r="F20" s="49">
        <f>QDD!F46</f>
        <v>3600.1264207519321</v>
      </c>
      <c r="G20" s="49">
        <f>QDD!G46</f>
        <v>4315.3909324370561</v>
      </c>
      <c r="H20" s="49">
        <f>QDD!H46</f>
        <v>4968.0138460749204</v>
      </c>
      <c r="I20" s="49">
        <f>QDD!I46</f>
        <v>5190.5236743948781</v>
      </c>
      <c r="J20" s="49">
        <f>QDD!J46</f>
        <v>5868.6725380312464</v>
      </c>
      <c r="K20" s="49">
        <f>QDD!K46</f>
        <v>6546.8214016676047</v>
      </c>
      <c r="L20" s="49">
        <f>QDD!L46</f>
        <v>5508.0611743948775</v>
      </c>
      <c r="M20" s="49">
        <f>QDD!M46</f>
        <v>5533.9780474625568</v>
      </c>
      <c r="N20" s="49">
        <f>QDD!N46</f>
        <v>3156.0770834857881</v>
      </c>
      <c r="O20" s="49">
        <f>QDD!O46</f>
        <v>3834.225947122151</v>
      </c>
      <c r="P20" s="49">
        <f>QDD!P46</f>
        <v>4512.3748107585152</v>
      </c>
      <c r="Q20" s="49">
        <f>QDD!Q46</f>
        <v>5190.5236743948781</v>
      </c>
      <c r="R20" s="49">
        <f>QDD!R46</f>
        <v>5868.6725380312419</v>
      </c>
      <c r="S20" s="49">
        <f>QDD!S46</f>
        <v>6546.8214016676047</v>
      </c>
      <c r="T20" s="49">
        <f>QDD!T46</f>
        <v>5508.0611743948775</v>
      </c>
      <c r="U20" s="49">
        <f>QDD!U46</f>
        <v>5533.9780474625568</v>
      </c>
      <c r="V20" s="49">
        <f>QDD!V46</f>
        <v>3156.0770834857881</v>
      </c>
      <c r="W20" s="49">
        <f>QDD!W46</f>
        <v>3834.225947122151</v>
      </c>
      <c r="X20" s="49">
        <f>QDD!X46</f>
        <v>4512.3748107585152</v>
      </c>
      <c r="Y20" s="49">
        <f>QDD!Y46</f>
        <v>5190.5236743948781</v>
      </c>
      <c r="Z20" s="49">
        <f>QDD!Z46</f>
        <v>5868.6725380312419</v>
      </c>
      <c r="AA20" s="49">
        <f>QDD!AA46</f>
        <v>6546.8214016676047</v>
      </c>
      <c r="AB20" s="49">
        <f>QDD!AB46</f>
        <v>5508.0611743948775</v>
      </c>
      <c r="AC20" s="49">
        <f>QDD!AC46</f>
        <v>5533.9780474625568</v>
      </c>
      <c r="AD20" s="49">
        <f>QDD!AD46</f>
        <v>3156.0770834857881</v>
      </c>
      <c r="AE20" s="49">
        <f>QDD!AE46</f>
        <v>3834.225947122151</v>
      </c>
      <c r="AF20" s="49">
        <f>QDD!AF46</f>
        <v>4512.3748107585152</v>
      </c>
      <c r="AG20" s="49">
        <f>QDD!AG46</f>
        <v>5190.5236743948781</v>
      </c>
      <c r="AH20" s="49">
        <f>QDD!AH46</f>
        <v>5868.6725380312419</v>
      </c>
      <c r="AI20" s="49">
        <f>QDD!AI46</f>
        <v>6546.8214016676047</v>
      </c>
      <c r="AJ20" s="49">
        <f>QDD!AJ46</f>
        <v>5508.0611743948775</v>
      </c>
      <c r="AK20" s="49">
        <f>QDD!AK46</f>
        <v>5533.9780474625568</v>
      </c>
      <c r="AL20" s="49">
        <f>QDD!AL46</f>
        <v>3156.0770834857881</v>
      </c>
    </row>
    <row r="21" spans="1:38" ht="18" customHeight="1">
      <c r="B21" s="48" t="s">
        <v>397</v>
      </c>
      <c r="C21" s="49">
        <f t="shared" si="0"/>
        <v>0</v>
      </c>
      <c r="D21" s="49">
        <f>QDG!D9</f>
        <v>0</v>
      </c>
      <c r="E21" s="49">
        <f>QDG!E9</f>
        <v>0</v>
      </c>
      <c r="F21" s="49">
        <f>QDG!F9</f>
        <v>0</v>
      </c>
      <c r="G21" s="49">
        <f>QDG!G9</f>
        <v>0</v>
      </c>
      <c r="H21" s="49">
        <f>QDG!H9</f>
        <v>0</v>
      </c>
      <c r="I21" s="49">
        <f>QDG!I9</f>
        <v>0</v>
      </c>
      <c r="J21" s="49">
        <f>QDG!J9</f>
        <v>0</v>
      </c>
      <c r="K21" s="49">
        <f>QDG!K9</f>
        <v>0</v>
      </c>
      <c r="L21" s="49">
        <f>QDG!L9</f>
        <v>0</v>
      </c>
      <c r="M21" s="49">
        <f>QDG!M9</f>
        <v>0</v>
      </c>
      <c r="N21" s="49">
        <f>QDG!N9</f>
        <v>0</v>
      </c>
      <c r="O21" s="49">
        <f>QDG!O9</f>
        <v>0</v>
      </c>
      <c r="P21" s="49">
        <f>QDG!P9</f>
        <v>0</v>
      </c>
      <c r="Q21" s="49">
        <f>QDG!Q9</f>
        <v>0</v>
      </c>
      <c r="R21" s="49">
        <f>QDG!R9</f>
        <v>0</v>
      </c>
      <c r="S21" s="49">
        <f>QDG!S9</f>
        <v>0</v>
      </c>
      <c r="T21" s="49">
        <f>QDG!T9</f>
        <v>0</v>
      </c>
      <c r="U21" s="49">
        <f>QDG!U9</f>
        <v>0</v>
      </c>
      <c r="V21" s="49">
        <f>QDG!V9</f>
        <v>0</v>
      </c>
      <c r="W21" s="49">
        <f>QDG!W9</f>
        <v>0</v>
      </c>
      <c r="X21" s="49">
        <f>QDG!X9</f>
        <v>0</v>
      </c>
      <c r="Y21" s="49">
        <f>QDG!Y9</f>
        <v>0</v>
      </c>
      <c r="Z21" s="49">
        <f>QDG!Z9</f>
        <v>0</v>
      </c>
      <c r="AA21" s="49">
        <f>QDG!AA9</f>
        <v>0</v>
      </c>
      <c r="AB21" s="49">
        <f>QDG!AB9</f>
        <v>0</v>
      </c>
      <c r="AC21" s="49">
        <f>QDG!AC9</f>
        <v>0</v>
      </c>
      <c r="AD21" s="49">
        <f>QDG!AD9</f>
        <v>0</v>
      </c>
      <c r="AE21" s="49">
        <f>QDG!AE9</f>
        <v>0</v>
      </c>
      <c r="AF21" s="49">
        <f>QDG!AF9</f>
        <v>0</v>
      </c>
      <c r="AG21" s="49">
        <f>QDG!AG9</f>
        <v>0</v>
      </c>
      <c r="AH21" s="49">
        <f>QDG!AH9</f>
        <v>0</v>
      </c>
      <c r="AI21" s="49">
        <f>QDG!AI9</f>
        <v>0</v>
      </c>
      <c r="AJ21" s="49">
        <f>QDG!AJ9</f>
        <v>0</v>
      </c>
      <c r="AK21" s="49">
        <f>QDG!AK9</f>
        <v>0</v>
      </c>
      <c r="AL21" s="49">
        <f>QDG!AL9</f>
        <v>0</v>
      </c>
    </row>
    <row r="22" spans="1:38" ht="18" customHeight="1">
      <c r="B22" s="48" t="s">
        <v>398</v>
      </c>
      <c r="C22" s="49">
        <f t="shared" si="0"/>
        <v>318249.53761307994</v>
      </c>
      <c r="D22" s="49">
        <f>QDF!E17</f>
        <v>1095.9084936900663</v>
      </c>
      <c r="E22" s="49">
        <f>QDF!F17</f>
        <v>5031.6637335292871</v>
      </c>
      <c r="F22" s="49">
        <f>QDF!G17</f>
        <v>9701.7837301177206</v>
      </c>
      <c r="G22" s="49">
        <f>QDF!H17</f>
        <v>9903.2205016724874</v>
      </c>
      <c r="H22" s="49">
        <f>QDF!I17</f>
        <v>9954.0213234049861</v>
      </c>
      <c r="I22" s="49">
        <f>QDF!J17</f>
        <v>9027.5922835141882</v>
      </c>
      <c r="J22" s="49">
        <f>QDF!K17</f>
        <v>7626.98487004658</v>
      </c>
      <c r="K22" s="49">
        <f>QDF!L17</f>
        <v>7033.923826647504</v>
      </c>
      <c r="L22" s="49">
        <f>QDF!M17</f>
        <v>6893.5780313579617</v>
      </c>
      <c r="M22" s="49">
        <f>QDF!N17</f>
        <v>6745.411692203852</v>
      </c>
      <c r="N22" s="49">
        <f>QDF!O17</f>
        <v>6837.009688644519</v>
      </c>
      <c r="O22" s="49">
        <f>QDF!P17</f>
        <v>6989.6148701007687</v>
      </c>
      <c r="P22" s="49">
        <f>QDF!Q17</f>
        <v>6942.6670505757684</v>
      </c>
      <c r="Q22" s="49">
        <f>QDF!R17</f>
        <v>8016.3500608492068</v>
      </c>
      <c r="R22" s="49">
        <f>QDF!S17</f>
        <v>9139.7999533101429</v>
      </c>
      <c r="S22" s="49">
        <f>QDF!T17</f>
        <v>9225.1830752469832</v>
      </c>
      <c r="T22" s="49">
        <f>QDF!U17</f>
        <v>9293.5397767978138</v>
      </c>
      <c r="U22" s="49">
        <f>QDF!V17</f>
        <v>9884.8947229358419</v>
      </c>
      <c r="V22" s="49">
        <f>QDF!W17</f>
        <v>8829.428271568655</v>
      </c>
      <c r="W22" s="49">
        <f>QDF!X17</f>
        <v>7705.978379107718</v>
      </c>
      <c r="X22" s="49">
        <f>QDF!Y17</f>
        <v>7723.4777348889675</v>
      </c>
      <c r="Y22" s="49">
        <f>QDF!Z17</f>
        <v>7765.1889522443871</v>
      </c>
      <c r="Z22" s="49">
        <f>QDF!AA17</f>
        <v>7671.4475338185575</v>
      </c>
      <c r="AA22" s="49">
        <f>QDF!AB17</f>
        <v>8881.0206250880892</v>
      </c>
      <c r="AB22" s="49">
        <f>QDF!AC17</f>
        <v>10140.563555263871</v>
      </c>
      <c r="AC22" s="49">
        <f>QDF!AD17</f>
        <v>9973.7984194826204</v>
      </c>
      <c r="AD22" s="49">
        <f>QDF!AE17</f>
        <v>9706.8806258888708</v>
      </c>
      <c r="AE22" s="49">
        <f>QDF!AF17</f>
        <v>9706.6676458888705</v>
      </c>
      <c r="AF22" s="49">
        <f>QDF!AG17</f>
        <v>8647.3970627443396</v>
      </c>
      <c r="AG22" s="49">
        <f>QDF!AH17</f>
        <v>7552.7497217873079</v>
      </c>
      <c r="AH22" s="49">
        <f>QDF!AI17</f>
        <v>12310.480891712987</v>
      </c>
      <c r="AI22" s="49">
        <f>QDF!AJ17</f>
        <v>12714.912845493369</v>
      </c>
      <c r="AJ22" s="49">
        <f>QDF!AK17</f>
        <v>12647.968466587119</v>
      </c>
      <c r="AK22" s="49">
        <f>QDF!AL17</f>
        <v>14200.479225088617</v>
      </c>
      <c r="AL22" s="49">
        <f>QDF!AM17</f>
        <v>22727.949971779868</v>
      </c>
    </row>
    <row r="23" spans="1:38" ht="24.95" customHeight="1">
      <c r="B23" s="34" t="s">
        <v>76</v>
      </c>
      <c r="C23" s="41">
        <f t="shared" si="0"/>
        <v>2012356.5366935141</v>
      </c>
      <c r="D23" s="41">
        <f>D11-D12</f>
        <v>-13804.014381703513</v>
      </c>
      <c r="E23" s="41">
        <f t="shared" ref="E23:AG23" si="5">E11-E12</f>
        <v>-22919.845050347154</v>
      </c>
      <c r="F23" s="41">
        <f t="shared" si="5"/>
        <v>2465.3232048304853</v>
      </c>
      <c r="G23" s="41">
        <f t="shared" si="5"/>
        <v>11244.218565171002</v>
      </c>
      <c r="H23" s="41">
        <f t="shared" si="5"/>
        <v>15663.098952412271</v>
      </c>
      <c r="I23" s="41">
        <f t="shared" si="5"/>
        <v>19274.267870242431</v>
      </c>
      <c r="J23" s="41">
        <f t="shared" si="5"/>
        <v>21021.137462283063</v>
      </c>
      <c r="K23" s="41">
        <f t="shared" si="5"/>
        <v>23765.113365824545</v>
      </c>
      <c r="L23" s="41">
        <f t="shared" si="5"/>
        <v>27896.763228190866</v>
      </c>
      <c r="M23" s="41">
        <f t="shared" si="5"/>
        <v>31755.647428697652</v>
      </c>
      <c r="N23" s="41">
        <f t="shared" si="5"/>
        <v>37691.204646795952</v>
      </c>
      <c r="O23" s="41">
        <f t="shared" si="5"/>
        <v>40379.91572905115</v>
      </c>
      <c r="P23" s="41">
        <f t="shared" si="5"/>
        <v>43237.96639118364</v>
      </c>
      <c r="Q23" s="41">
        <f t="shared" si="5"/>
        <v>44979.289701417016</v>
      </c>
      <c r="R23" s="41">
        <f t="shared" si="5"/>
        <v>43080.822310603107</v>
      </c>
      <c r="S23" s="41">
        <f t="shared" si="5"/>
        <v>45581.692511698711</v>
      </c>
      <c r="T23" s="41">
        <f t="shared" si="5"/>
        <v>50574.953421438273</v>
      </c>
      <c r="U23" s="41">
        <f t="shared" si="5"/>
        <v>53638.194361665635</v>
      </c>
      <c r="V23" s="41">
        <f t="shared" si="5"/>
        <v>61083.451847856348</v>
      </c>
      <c r="W23" s="41">
        <f t="shared" si="5"/>
        <v>65528.673133133707</v>
      </c>
      <c r="X23" s="41">
        <f t="shared" si="5"/>
        <v>67995.465409103796</v>
      </c>
      <c r="Y23" s="41">
        <f t="shared" si="5"/>
        <v>71515.419056367769</v>
      </c>
      <c r="Z23" s="41">
        <f t="shared" si="5"/>
        <v>75152.264674590406</v>
      </c>
      <c r="AA23" s="41">
        <f t="shared" si="5"/>
        <v>77587.258160762474</v>
      </c>
      <c r="AB23" s="41">
        <f t="shared" si="5"/>
        <v>81620.506969614013</v>
      </c>
      <c r="AC23" s="41">
        <f t="shared" si="5"/>
        <v>86135.417986189888</v>
      </c>
      <c r="AD23" s="41">
        <f t="shared" si="5"/>
        <v>93115.462190747101</v>
      </c>
      <c r="AE23" s="41">
        <f t="shared" si="5"/>
        <v>96787.883924554655</v>
      </c>
      <c r="AF23" s="41">
        <f t="shared" si="5"/>
        <v>101401.22665938905</v>
      </c>
      <c r="AG23" s="41">
        <f t="shared" si="5"/>
        <v>106642.13744469555</v>
      </c>
      <c r="AH23" s="41">
        <f>AH11-AH12</f>
        <v>104853.08139977278</v>
      </c>
      <c r="AI23" s="41">
        <f>AI11-AI12</f>
        <v>107767.52892146312</v>
      </c>
      <c r="AJ23" s="41">
        <f>AJ11-AJ12</f>
        <v>112871.75977030548</v>
      </c>
      <c r="AK23" s="41">
        <f>AK11-AK12</f>
        <v>115190.78165594448</v>
      </c>
      <c r="AL23" s="41">
        <f>AL11-AL12</f>
        <v>111582.46776956863</v>
      </c>
    </row>
    <row r="24" spans="1:38" ht="24.95" customHeight="1">
      <c r="B24" s="34" t="s">
        <v>91</v>
      </c>
      <c r="C24" s="41">
        <f t="shared" si="0"/>
        <v>2012356.5366935141</v>
      </c>
      <c r="D24" s="41">
        <f>D23</f>
        <v>-13804.014381703513</v>
      </c>
      <c r="E24" s="41">
        <f t="shared" ref="E24:AG24" si="6">E23</f>
        <v>-22919.845050347154</v>
      </c>
      <c r="F24" s="41">
        <f t="shared" si="6"/>
        <v>2465.3232048304853</v>
      </c>
      <c r="G24" s="41">
        <f t="shared" si="6"/>
        <v>11244.218565171002</v>
      </c>
      <c r="H24" s="41">
        <f t="shared" si="6"/>
        <v>15663.098952412271</v>
      </c>
      <c r="I24" s="41">
        <f t="shared" si="6"/>
        <v>19274.267870242431</v>
      </c>
      <c r="J24" s="41">
        <f>J23</f>
        <v>21021.137462283063</v>
      </c>
      <c r="K24" s="41">
        <f t="shared" si="6"/>
        <v>23765.113365824545</v>
      </c>
      <c r="L24" s="41">
        <f t="shared" si="6"/>
        <v>27896.763228190866</v>
      </c>
      <c r="M24" s="41">
        <f t="shared" si="6"/>
        <v>31755.647428697652</v>
      </c>
      <c r="N24" s="41">
        <f t="shared" si="6"/>
        <v>37691.204646795952</v>
      </c>
      <c r="O24" s="41">
        <f t="shared" si="6"/>
        <v>40379.91572905115</v>
      </c>
      <c r="P24" s="41">
        <f t="shared" si="6"/>
        <v>43237.96639118364</v>
      </c>
      <c r="Q24" s="41">
        <f t="shared" si="6"/>
        <v>44979.289701417016</v>
      </c>
      <c r="R24" s="41">
        <f t="shared" si="6"/>
        <v>43080.822310603107</v>
      </c>
      <c r="S24" s="41">
        <f t="shared" si="6"/>
        <v>45581.692511698711</v>
      </c>
      <c r="T24" s="41">
        <f t="shared" si="6"/>
        <v>50574.953421438273</v>
      </c>
      <c r="U24" s="41">
        <f t="shared" si="6"/>
        <v>53638.194361665635</v>
      </c>
      <c r="V24" s="41">
        <f t="shared" si="6"/>
        <v>61083.451847856348</v>
      </c>
      <c r="W24" s="41">
        <f t="shared" si="6"/>
        <v>65528.673133133707</v>
      </c>
      <c r="X24" s="41">
        <f t="shared" si="6"/>
        <v>67995.465409103796</v>
      </c>
      <c r="Y24" s="41">
        <f t="shared" si="6"/>
        <v>71515.419056367769</v>
      </c>
      <c r="Z24" s="41">
        <f t="shared" si="6"/>
        <v>75152.264674590406</v>
      </c>
      <c r="AA24" s="41">
        <f t="shared" si="6"/>
        <v>77587.258160762474</v>
      </c>
      <c r="AB24" s="41">
        <f t="shared" si="6"/>
        <v>81620.506969614013</v>
      </c>
      <c r="AC24" s="41">
        <f t="shared" si="6"/>
        <v>86135.417986189888</v>
      </c>
      <c r="AD24" s="41">
        <f t="shared" si="6"/>
        <v>93115.462190747101</v>
      </c>
      <c r="AE24" s="41">
        <f t="shared" si="6"/>
        <v>96787.883924554655</v>
      </c>
      <c r="AF24" s="41">
        <f t="shared" si="6"/>
        <v>101401.22665938905</v>
      </c>
      <c r="AG24" s="41">
        <f t="shared" si="6"/>
        <v>106642.13744469555</v>
      </c>
      <c r="AH24" s="41">
        <f>AH23</f>
        <v>104853.08139977278</v>
      </c>
      <c r="AI24" s="41">
        <f>AI23</f>
        <v>107767.52892146312</v>
      </c>
      <c r="AJ24" s="41">
        <f>AJ23</f>
        <v>112871.75977030548</v>
      </c>
      <c r="AK24" s="41">
        <f>AK23</f>
        <v>115190.78165594448</v>
      </c>
      <c r="AL24" s="41">
        <f>AL23</f>
        <v>111582.46776956863</v>
      </c>
    </row>
    <row r="25" spans="1:38" ht="24.95" customHeight="1">
      <c r="B25" s="34" t="s">
        <v>93</v>
      </c>
      <c r="C25" s="41">
        <f t="shared" si="0"/>
        <v>684201.22247579508</v>
      </c>
      <c r="D25" s="41">
        <f>-SUM(D33:D35)</f>
        <v>-4693.3648897791945</v>
      </c>
      <c r="E25" s="41">
        <f t="shared" ref="E25:AL25" si="7">-SUM(E33:E35)</f>
        <v>-7792.7473171180336</v>
      </c>
      <c r="F25" s="41">
        <f t="shared" si="7"/>
        <v>838.20988964236517</v>
      </c>
      <c r="G25" s="41">
        <f t="shared" si="7"/>
        <v>3823.0343121581413</v>
      </c>
      <c r="H25" s="41">
        <f t="shared" si="7"/>
        <v>5325.4536438201721</v>
      </c>
      <c r="I25" s="41">
        <f t="shared" si="7"/>
        <v>6553.2510758824274</v>
      </c>
      <c r="J25" s="41">
        <f t="shared" si="7"/>
        <v>7147.1867371762419</v>
      </c>
      <c r="K25" s="41">
        <f t="shared" si="7"/>
        <v>8080.1385443803456</v>
      </c>
      <c r="L25" s="41">
        <f t="shared" si="7"/>
        <v>9484.8994975848946</v>
      </c>
      <c r="M25" s="41">
        <f t="shared" si="7"/>
        <v>10796.920125757202</v>
      </c>
      <c r="N25" s="41">
        <f t="shared" si="7"/>
        <v>12815.009579910624</v>
      </c>
      <c r="O25" s="41">
        <f t="shared" si="7"/>
        <v>13729.171347877393</v>
      </c>
      <c r="P25" s="41">
        <f t="shared" si="7"/>
        <v>14700.908573002438</v>
      </c>
      <c r="Q25" s="41">
        <f t="shared" si="7"/>
        <v>15292.958498481787</v>
      </c>
      <c r="R25" s="41">
        <f t="shared" si="7"/>
        <v>14647.47958560506</v>
      </c>
      <c r="S25" s="41">
        <f t="shared" si="7"/>
        <v>15497.775453977565</v>
      </c>
      <c r="T25" s="41">
        <f t="shared" si="7"/>
        <v>17195.484163289017</v>
      </c>
      <c r="U25" s="41">
        <f t="shared" si="7"/>
        <v>18236.986082966319</v>
      </c>
      <c r="V25" s="41">
        <f t="shared" si="7"/>
        <v>20768.373628271158</v>
      </c>
      <c r="W25" s="41">
        <f t="shared" si="7"/>
        <v>22279.748865265461</v>
      </c>
      <c r="X25" s="41">
        <f t="shared" si="7"/>
        <v>23118.458239095289</v>
      </c>
      <c r="Y25" s="41">
        <f t="shared" si="7"/>
        <v>24315.242479165041</v>
      </c>
      <c r="Z25" s="41">
        <f t="shared" si="7"/>
        <v>25551.769989360739</v>
      </c>
      <c r="AA25" s="41">
        <f t="shared" si="7"/>
        <v>26379.667774659243</v>
      </c>
      <c r="AB25" s="41">
        <f t="shared" si="7"/>
        <v>27750.972369668765</v>
      </c>
      <c r="AC25" s="41">
        <f t="shared" si="7"/>
        <v>29286.042115304568</v>
      </c>
      <c r="AD25" s="41">
        <f t="shared" si="7"/>
        <v>31659.257144854015</v>
      </c>
      <c r="AE25" s="41">
        <f t="shared" si="7"/>
        <v>32907.88053434858</v>
      </c>
      <c r="AF25" s="41">
        <f t="shared" si="7"/>
        <v>34476.417064192276</v>
      </c>
      <c r="AG25" s="41">
        <f t="shared" si="7"/>
        <v>36258.326731196488</v>
      </c>
      <c r="AH25" s="41">
        <f t="shared" si="7"/>
        <v>35650.047675922753</v>
      </c>
      <c r="AI25" s="41">
        <f t="shared" si="7"/>
        <v>36640.959833297464</v>
      </c>
      <c r="AJ25" s="41">
        <f t="shared" si="7"/>
        <v>38376.398321903871</v>
      </c>
      <c r="AK25" s="41">
        <f t="shared" si="7"/>
        <v>39164.865763021124</v>
      </c>
      <c r="AL25" s="41">
        <f t="shared" si="7"/>
        <v>37938.039041653334</v>
      </c>
    </row>
    <row r="26" spans="1:38" ht="24.95" customHeight="1">
      <c r="B26" s="34" t="s">
        <v>92</v>
      </c>
      <c r="C26" s="41">
        <f t="shared" si="0"/>
        <v>1328155.3142177192</v>
      </c>
      <c r="D26" s="41">
        <f>D24-D25</f>
        <v>-9110.6494919243196</v>
      </c>
      <c r="E26" s="41">
        <f t="shared" ref="E26:AG26" si="8">E24-E25</f>
        <v>-15127.09773322912</v>
      </c>
      <c r="F26" s="41">
        <f t="shared" si="8"/>
        <v>1627.1133151881202</v>
      </c>
      <c r="G26" s="41">
        <f t="shared" si="8"/>
        <v>7421.1842530128615</v>
      </c>
      <c r="H26" s="41">
        <f t="shared" si="8"/>
        <v>10337.645308592098</v>
      </c>
      <c r="I26" s="41">
        <f t="shared" si="8"/>
        <v>12721.016794360003</v>
      </c>
      <c r="J26" s="41">
        <f t="shared" si="8"/>
        <v>13873.950725106821</v>
      </c>
      <c r="K26" s="41">
        <f t="shared" si="8"/>
        <v>15684.974821444201</v>
      </c>
      <c r="L26" s="41">
        <f t="shared" si="8"/>
        <v>18411.863730605972</v>
      </c>
      <c r="M26" s="41">
        <f t="shared" si="8"/>
        <v>20958.72730294045</v>
      </c>
      <c r="N26" s="41">
        <f t="shared" si="8"/>
        <v>24876.195066885328</v>
      </c>
      <c r="O26" s="41">
        <f t="shared" si="8"/>
        <v>26650.744381173758</v>
      </c>
      <c r="P26" s="41">
        <f t="shared" si="8"/>
        <v>28537.057818181202</v>
      </c>
      <c r="Q26" s="41">
        <f t="shared" si="8"/>
        <v>29686.331202935231</v>
      </c>
      <c r="R26" s="41">
        <f t="shared" si="8"/>
        <v>28433.342724998045</v>
      </c>
      <c r="S26" s="41">
        <f t="shared" si="8"/>
        <v>30083.917057721148</v>
      </c>
      <c r="T26" s="41">
        <f t="shared" si="8"/>
        <v>33379.469258149256</v>
      </c>
      <c r="U26" s="41">
        <f t="shared" si="8"/>
        <v>35401.208278699312</v>
      </c>
      <c r="V26" s="41">
        <f t="shared" si="8"/>
        <v>40315.078219585193</v>
      </c>
      <c r="W26" s="41">
        <f t="shared" si="8"/>
        <v>43248.924267868249</v>
      </c>
      <c r="X26" s="41">
        <f t="shared" si="8"/>
        <v>44877.00717000851</v>
      </c>
      <c r="Y26" s="41">
        <f t="shared" si="8"/>
        <v>47200.176577202728</v>
      </c>
      <c r="Z26" s="41">
        <f t="shared" si="8"/>
        <v>49600.494685229671</v>
      </c>
      <c r="AA26" s="41">
        <f t="shared" si="8"/>
        <v>51207.590386103228</v>
      </c>
      <c r="AB26" s="41">
        <f t="shared" si="8"/>
        <v>53869.534599945247</v>
      </c>
      <c r="AC26" s="41">
        <f t="shared" si="8"/>
        <v>56849.37587088532</v>
      </c>
      <c r="AD26" s="41">
        <f t="shared" si="8"/>
        <v>61456.20504589309</v>
      </c>
      <c r="AE26" s="41">
        <f t="shared" si="8"/>
        <v>63880.003390206075</v>
      </c>
      <c r="AF26" s="41">
        <f t="shared" si="8"/>
        <v>66924.80959519677</v>
      </c>
      <c r="AG26" s="41">
        <f t="shared" si="8"/>
        <v>70383.810713499057</v>
      </c>
      <c r="AH26" s="41">
        <f>AH24-AH25</f>
        <v>69203.033723850036</v>
      </c>
      <c r="AI26" s="41">
        <f>AI24-AI25</f>
        <v>71126.569088165648</v>
      </c>
      <c r="AJ26" s="41">
        <f>AJ24-AJ25</f>
        <v>74495.361448401614</v>
      </c>
      <c r="AK26" s="41">
        <f>AK24-AK25</f>
        <v>76025.915892923353</v>
      </c>
      <c r="AL26" s="41">
        <f>AL24-AL25</f>
        <v>73644.428727915292</v>
      </c>
    </row>
    <row r="27" spans="1:38">
      <c r="D27" s="96">
        <f t="shared" ref="D27:AL27" si="9">-D25/D24</f>
        <v>-0.34</v>
      </c>
      <c r="E27" s="96">
        <f t="shared" si="9"/>
        <v>-0.34000000000000008</v>
      </c>
      <c r="F27" s="96">
        <f t="shared" si="9"/>
        <v>-0.34000000000000008</v>
      </c>
      <c r="G27" s="96">
        <f t="shared" si="9"/>
        <v>-0.34</v>
      </c>
      <c r="H27" s="96">
        <f t="shared" si="9"/>
        <v>-0.34</v>
      </c>
      <c r="I27" s="96">
        <f t="shared" si="9"/>
        <v>-0.34</v>
      </c>
      <c r="J27" s="96">
        <f t="shared" si="9"/>
        <v>-0.34</v>
      </c>
      <c r="K27" s="96">
        <f t="shared" si="9"/>
        <v>-0.34</v>
      </c>
      <c r="L27" s="96">
        <f t="shared" si="9"/>
        <v>-0.34</v>
      </c>
      <c r="M27" s="96">
        <f t="shared" si="9"/>
        <v>-0.34</v>
      </c>
      <c r="N27" s="96">
        <f t="shared" si="9"/>
        <v>-0.34</v>
      </c>
      <c r="O27" s="96">
        <f t="shared" si="9"/>
        <v>-0.34</v>
      </c>
      <c r="P27" s="96">
        <f t="shared" si="9"/>
        <v>-0.34</v>
      </c>
      <c r="Q27" s="96">
        <f t="shared" si="9"/>
        <v>-0.34</v>
      </c>
      <c r="R27" s="96">
        <f t="shared" si="9"/>
        <v>-0.34000000000000008</v>
      </c>
      <c r="S27" s="96">
        <f t="shared" si="9"/>
        <v>-0.34000000000000008</v>
      </c>
      <c r="T27" s="96">
        <f t="shared" si="9"/>
        <v>-0.34000000000000008</v>
      </c>
      <c r="U27" s="96">
        <f t="shared" si="9"/>
        <v>-0.34000000000000008</v>
      </c>
      <c r="V27" s="96">
        <f t="shared" si="9"/>
        <v>-0.33999999999999997</v>
      </c>
      <c r="W27" s="96">
        <f t="shared" si="9"/>
        <v>-0.34</v>
      </c>
      <c r="X27" s="96">
        <f t="shared" si="9"/>
        <v>-0.33999999999999997</v>
      </c>
      <c r="Y27" s="96">
        <f t="shared" si="9"/>
        <v>-0.33999999999999997</v>
      </c>
      <c r="Z27" s="96">
        <f t="shared" si="9"/>
        <v>-0.34</v>
      </c>
      <c r="AA27" s="96">
        <f t="shared" si="9"/>
        <v>-0.34</v>
      </c>
      <c r="AB27" s="96">
        <f t="shared" si="9"/>
        <v>-0.34</v>
      </c>
      <c r="AC27" s="96">
        <f t="shared" si="9"/>
        <v>-0.34000000000000008</v>
      </c>
      <c r="AD27" s="96">
        <f t="shared" si="9"/>
        <v>-0.34</v>
      </c>
      <c r="AE27" s="96">
        <f t="shared" si="9"/>
        <v>-0.33999999999999997</v>
      </c>
      <c r="AF27" s="96">
        <f t="shared" si="9"/>
        <v>-0.33999999999999997</v>
      </c>
      <c r="AG27" s="96">
        <f t="shared" si="9"/>
        <v>-0.34</v>
      </c>
      <c r="AH27" s="96">
        <f t="shared" si="9"/>
        <v>-0.34000000000000008</v>
      </c>
      <c r="AI27" s="96">
        <f t="shared" si="9"/>
        <v>-0.34</v>
      </c>
      <c r="AJ27" s="96">
        <f t="shared" si="9"/>
        <v>-0.34000000000000008</v>
      </c>
      <c r="AK27" s="96">
        <f t="shared" si="9"/>
        <v>-0.34</v>
      </c>
      <c r="AL27" s="96">
        <f t="shared" si="9"/>
        <v>-0.34</v>
      </c>
    </row>
    <row r="28" spans="1:38" ht="24.95" customHeight="1">
      <c r="B28" s="165" t="s">
        <v>92</v>
      </c>
      <c r="C28" s="41">
        <v>1351489.9200389998</v>
      </c>
      <c r="D28" s="41">
        <v>-1681.5719027235193</v>
      </c>
      <c r="E28" s="41">
        <v>1591.1821660151129</v>
      </c>
      <c r="F28" s="41">
        <v>5099.3977483748104</v>
      </c>
      <c r="G28" s="41">
        <v>6371.3269338716264</v>
      </c>
      <c r="H28" s="41">
        <v>6922.8569661019628</v>
      </c>
      <c r="I28" s="41">
        <v>9616.829984968248</v>
      </c>
      <c r="J28" s="41">
        <v>12240.010560677338</v>
      </c>
      <c r="K28" s="41">
        <v>14022.339216957542</v>
      </c>
      <c r="L28" s="41">
        <v>16556.326732380447</v>
      </c>
      <c r="M28" s="41">
        <v>18674.033008664901</v>
      </c>
      <c r="N28" s="41">
        <v>22226.104092507368</v>
      </c>
      <c r="O28" s="41">
        <v>23781.188838592854</v>
      </c>
      <c r="P28" s="41">
        <v>25662.974122955697</v>
      </c>
      <c r="Q28" s="41">
        <v>26782.970912344721</v>
      </c>
      <c r="R28" s="41">
        <v>27666.626484276378</v>
      </c>
      <c r="S28" s="41">
        <v>29964.718077528378</v>
      </c>
      <c r="T28" s="41">
        <v>33319.027595556865</v>
      </c>
      <c r="U28" s="41">
        <v>35921.626220678023</v>
      </c>
      <c r="V28" s="41">
        <v>40877.685120304915</v>
      </c>
      <c r="W28" s="41">
        <v>43796.566587874506</v>
      </c>
      <c r="X28" s="41">
        <v>45259.946435433623</v>
      </c>
      <c r="Y28" s="41">
        <v>47359.425007427119</v>
      </c>
      <c r="Z28" s="41">
        <v>49634.582572276027</v>
      </c>
      <c r="AA28" s="41">
        <v>51316.20405903647</v>
      </c>
      <c r="AB28" s="41">
        <v>54052.652575359971</v>
      </c>
      <c r="AC28" s="41">
        <v>57121.666916126444</v>
      </c>
      <c r="AD28" s="41">
        <v>61838.51214814579</v>
      </c>
      <c r="AE28" s="41">
        <v>64273.792616182604</v>
      </c>
      <c r="AF28" s="41">
        <v>67231.57979144869</v>
      </c>
      <c r="AG28" s="41">
        <v>70177.274066613987</v>
      </c>
      <c r="AH28" s="41">
        <v>72260.824321570166</v>
      </c>
      <c r="AI28" s="41">
        <v>74158.925091326848</v>
      </c>
      <c r="AJ28" s="41">
        <v>77498.353816043222</v>
      </c>
      <c r="AK28" s="41">
        <v>79016.462586389534</v>
      </c>
      <c r="AL28" s="41">
        <v>80877.498567711053</v>
      </c>
    </row>
    <row r="29" spans="1:38">
      <c r="B29" s="24" t="s">
        <v>314</v>
      </c>
      <c r="C29" s="83"/>
      <c r="D29" s="82">
        <f>D24-D6+D22-SUM(QDF!E12:E15)+SUM(QDF!E4:E5)</f>
        <v>-13804.014381703513</v>
      </c>
      <c r="E29" s="82">
        <f>E24-E6+E22-SUM(QDF!F12:F15)+SUM(QDF!F4:F5)</f>
        <v>-22919.845050347154</v>
      </c>
      <c r="F29" s="82">
        <f>F24-F6+F22-SUM(QDF!G12:G15)+SUM(QDF!G4:G5)</f>
        <v>2465.3232048304853</v>
      </c>
      <c r="G29" s="82">
        <f>G24-G6+G22-SUM(QDF!H12:H15)+SUM(QDF!H4:H5)</f>
        <v>11244.218565171002</v>
      </c>
      <c r="H29" s="82">
        <f>H24-H6+H22-SUM(QDF!I12:I15)+SUM(QDF!I4:I5)</f>
        <v>15663.098952412272</v>
      </c>
      <c r="I29" s="82">
        <f>I24-I6+I22-SUM(QDF!J12:J15)+SUM(QDF!J4:J5)</f>
        <v>19274.267870242431</v>
      </c>
      <c r="J29" s="82">
        <f>J24-J6+J22-SUM(QDF!K12:K15)+SUM(QDF!K4:K5)</f>
        <v>21021.137462283063</v>
      </c>
      <c r="K29" s="82">
        <f>K24-K6+K22-SUM(QDF!L12:L15)+SUM(QDF!L4:L5)</f>
        <v>23765.113365824545</v>
      </c>
      <c r="L29" s="82">
        <f>L24-L6+L22-SUM(QDF!M12:M15)+SUM(QDF!M4:M5)</f>
        <v>27896.763228190866</v>
      </c>
      <c r="M29" s="82">
        <f>M24-M6+M22-SUM(QDF!N12:N15)+SUM(QDF!N4:N5)</f>
        <v>31755.647428697652</v>
      </c>
      <c r="N29" s="82">
        <f>N24-N6+N22-SUM(QDF!O12:O15)+SUM(QDF!O4:O5)</f>
        <v>37691.204646795952</v>
      </c>
      <c r="O29" s="82">
        <f>O24-O6+O22-SUM(QDF!P12:P15)+SUM(QDF!P4:P5)</f>
        <v>40379.91572905115</v>
      </c>
      <c r="P29" s="82">
        <f>P24-P6+P22-SUM(QDF!Q12:Q15)+SUM(QDF!Q4:Q5)</f>
        <v>43237.96639118364</v>
      </c>
      <c r="Q29" s="82">
        <f>Q24-Q6+Q22-SUM(QDF!R12:R15)+SUM(QDF!R4:R5)</f>
        <v>44979.289701417016</v>
      </c>
      <c r="R29" s="82">
        <f>R24-R6+R22-SUM(QDF!S12:S15)+SUM(QDF!S4:S5)</f>
        <v>43006.117800628512</v>
      </c>
      <c r="S29" s="82">
        <f>S24-S6+S22-SUM(QDF!T12:T15)+SUM(QDF!T4:T5)</f>
        <v>45585.427737197446</v>
      </c>
      <c r="T29" s="82">
        <f>T24-T6+T22-SUM(QDF!U12:U15)+SUM(QDF!U4:U5)</f>
        <v>50327.124113172424</v>
      </c>
      <c r="U29" s="82">
        <f>U24-U6+U22-SUM(QDF!V12:V15)+SUM(QDF!V4:V5)</f>
        <v>53655.905394595735</v>
      </c>
      <c r="V29" s="82">
        <f>V24-V6+V22-SUM(QDF!W12:W15)+SUM(QDF!W4:W5)</f>
        <v>61101.16288078644</v>
      </c>
      <c r="W29" s="82">
        <f>W24-W6+W22-SUM(QDF!X12:X15)+SUM(QDF!X4:X5)</f>
        <v>65546.384166063799</v>
      </c>
      <c r="X29" s="82">
        <f>X24-X6+X22-SUM(QDF!Y12:Y15)+SUM(QDF!Y4:Y5)</f>
        <v>68013.176442033888</v>
      </c>
      <c r="Y29" s="82">
        <f>Y24-Y6+Y22-SUM(QDF!Z12:Z15)+SUM(QDF!Z4:Z5)</f>
        <v>71533.130089297862</v>
      </c>
      <c r="Z29" s="82">
        <f>Z24-Z6+Z22-SUM(QDF!AA12:AA15)+SUM(QDF!AA4:AA5)</f>
        <v>75169.975707520498</v>
      </c>
      <c r="AA29" s="82">
        <f>AA24-AA6+AA22-SUM(QDF!AB12:AB15)+SUM(QDF!AB4:AB5)</f>
        <v>77604.969193692566</v>
      </c>
      <c r="AB29" s="82">
        <f>AB24-AB6+AB22-SUM(QDF!AC12:AC15)+SUM(QDF!AC4:AC5)</f>
        <v>81638.218002544105</v>
      </c>
      <c r="AC29" s="82">
        <f>AC24-AC6+AC22-SUM(QDF!AD12:AD15)+SUM(QDF!AD4:AD5)</f>
        <v>86153.129019119995</v>
      </c>
      <c r="AD29" s="82">
        <f>AD24-AD6+AD22-SUM(QDF!AE12:AE15)+SUM(QDF!AE4:AE5)</f>
        <v>93133.173223677193</v>
      </c>
      <c r="AE29" s="82">
        <f>AE24-AE6+AE22-SUM(QDF!AF12:AF15)+SUM(QDF!AF4:AF5)</f>
        <v>96805.594957484747</v>
      </c>
      <c r="AF29" s="82">
        <f>AF24-AF6+AF22-SUM(QDF!AG12:AG15)+SUM(QDF!AG4:AG5)</f>
        <v>101418.93769231914</v>
      </c>
      <c r="AG29" s="82">
        <f>AG24-AG6+AG22-SUM(QDF!AH12:AH15)+SUM(QDF!AH4:AH5)</f>
        <v>106013.7736023679</v>
      </c>
      <c r="AH29" s="82">
        <f>AH24-AH6+AH22-SUM(QDF!AI12:AI15)+SUM(QDF!AI4:AI5)</f>
        <v>105000.00740775443</v>
      </c>
      <c r="AI29" s="82">
        <f>AI24-AI6+AI22-SUM(QDF!AJ12:AJ15)+SUM(QDF!AJ4:AJ5)</f>
        <v>107914.45492944476</v>
      </c>
      <c r="AJ29" s="82">
        <f>AJ24-AJ6+AJ22-SUM(QDF!AK12:AK15)+SUM(QDF!AK4:AK5)</f>
        <v>113018.68577828712</v>
      </c>
      <c r="AK29" s="82">
        <f>AK24-AK6+AK22-SUM(QDF!AL12:AL15)+SUM(QDF!AL4:AL5)</f>
        <v>115337.70766392611</v>
      </c>
      <c r="AL29" s="82">
        <f>AL24-AL6+AL22-SUM(QDF!AM12:AM15)+SUM(QDF!AM4:AM5)</f>
        <v>111729.39377755026</v>
      </c>
    </row>
    <row r="30" spans="1:38">
      <c r="B30" s="24" t="s">
        <v>315</v>
      </c>
      <c r="C30" s="83"/>
      <c r="D30" s="82">
        <f>-MIN(IF(D37=0,0,D29*30%),D37/34%)</f>
        <v>0</v>
      </c>
      <c r="E30" s="82">
        <f>-MIN(IF(E37=0,0,E29*30%),E37/34%)</f>
        <v>6875.9535151041464</v>
      </c>
      <c r="F30" s="82">
        <f t="shared" ref="F30:AL30" si="10">-MIN(IF(F37=0,0,F29*30%),F37/34%)</f>
        <v>-739.59696144914562</v>
      </c>
      <c r="G30" s="82">
        <f t="shared" si="10"/>
        <v>-3373.2655695513008</v>
      </c>
      <c r="H30" s="82">
        <f t="shared" si="10"/>
        <v>-4698.9296857236814</v>
      </c>
      <c r="I30" s="82">
        <f t="shared" si="10"/>
        <v>-5782.2803610727287</v>
      </c>
      <c r="J30" s="82">
        <f t="shared" si="10"/>
        <v>-6306.3412386849186</v>
      </c>
      <c r="K30" s="82">
        <f t="shared" si="10"/>
        <v>-7129.5340097473636</v>
      </c>
      <c r="L30" s="82">
        <f t="shared" si="10"/>
        <v>-8369.0289684572599</v>
      </c>
      <c r="M30" s="82">
        <f t="shared" si="10"/>
        <v>-324.88263736426876</v>
      </c>
      <c r="N30" s="82">
        <f t="shared" si="10"/>
        <v>0</v>
      </c>
      <c r="O30" s="82">
        <f t="shared" si="10"/>
        <v>0</v>
      </c>
      <c r="P30" s="82">
        <f t="shared" si="10"/>
        <v>0</v>
      </c>
      <c r="Q30" s="82">
        <f t="shared" si="10"/>
        <v>0</v>
      </c>
      <c r="R30" s="82">
        <f t="shared" si="10"/>
        <v>0</v>
      </c>
      <c r="S30" s="82">
        <f t="shared" si="10"/>
        <v>0</v>
      </c>
      <c r="T30" s="82">
        <f t="shared" si="10"/>
        <v>0</v>
      </c>
      <c r="U30" s="82">
        <f t="shared" si="10"/>
        <v>0</v>
      </c>
      <c r="V30" s="82">
        <f t="shared" si="10"/>
        <v>0</v>
      </c>
      <c r="W30" s="82">
        <f t="shared" si="10"/>
        <v>0</v>
      </c>
      <c r="X30" s="82">
        <f t="shared" si="10"/>
        <v>0</v>
      </c>
      <c r="Y30" s="82">
        <f t="shared" si="10"/>
        <v>0</v>
      </c>
      <c r="Z30" s="82">
        <f t="shared" si="10"/>
        <v>0</v>
      </c>
      <c r="AA30" s="82">
        <f t="shared" si="10"/>
        <v>0</v>
      </c>
      <c r="AB30" s="82">
        <f t="shared" si="10"/>
        <v>0</v>
      </c>
      <c r="AC30" s="82">
        <f t="shared" si="10"/>
        <v>0</v>
      </c>
      <c r="AD30" s="82">
        <f t="shared" si="10"/>
        <v>0</v>
      </c>
      <c r="AE30" s="82">
        <f t="shared" si="10"/>
        <v>0</v>
      </c>
      <c r="AF30" s="82">
        <f t="shared" si="10"/>
        <v>0</v>
      </c>
      <c r="AG30" s="82">
        <f t="shared" si="10"/>
        <v>0</v>
      </c>
      <c r="AH30" s="82">
        <f t="shared" si="10"/>
        <v>0</v>
      </c>
      <c r="AI30" s="82">
        <f t="shared" si="10"/>
        <v>0</v>
      </c>
      <c r="AJ30" s="82">
        <f t="shared" si="10"/>
        <v>0</v>
      </c>
      <c r="AK30" s="82">
        <f t="shared" si="10"/>
        <v>0</v>
      </c>
      <c r="AL30" s="82">
        <f t="shared" si="10"/>
        <v>0</v>
      </c>
    </row>
    <row r="31" spans="1:38">
      <c r="B31" s="24" t="s">
        <v>316</v>
      </c>
      <c r="C31" s="83"/>
      <c r="D31" s="82">
        <f>D29+D30</f>
        <v>-13804.014381703513</v>
      </c>
      <c r="E31" s="82">
        <f t="shared" ref="E31:AL31" si="11">E29+E30</f>
        <v>-16043.891535243009</v>
      </c>
      <c r="F31" s="82">
        <f t="shared" si="11"/>
        <v>1725.7262433813398</v>
      </c>
      <c r="G31" s="82">
        <f t="shared" si="11"/>
        <v>7870.9529956197021</v>
      </c>
      <c r="H31" s="82">
        <f t="shared" si="11"/>
        <v>10964.16926668859</v>
      </c>
      <c r="I31" s="82">
        <f>I29+I30</f>
        <v>13491.987509169703</v>
      </c>
      <c r="J31" s="82">
        <f t="shared" si="11"/>
        <v>14714.796223598143</v>
      </c>
      <c r="K31" s="82">
        <f t="shared" si="11"/>
        <v>16635.579356077182</v>
      </c>
      <c r="L31" s="82">
        <f t="shared" si="11"/>
        <v>19527.734259733606</v>
      </c>
      <c r="M31" s="82">
        <f t="shared" si="11"/>
        <v>31430.764791333382</v>
      </c>
      <c r="N31" s="82">
        <f t="shared" si="11"/>
        <v>37691.204646795952</v>
      </c>
      <c r="O31" s="82">
        <f t="shared" si="11"/>
        <v>40379.91572905115</v>
      </c>
      <c r="P31" s="82">
        <f t="shared" si="11"/>
        <v>43237.96639118364</v>
      </c>
      <c r="Q31" s="82">
        <f t="shared" si="11"/>
        <v>44979.289701417016</v>
      </c>
      <c r="R31" s="82">
        <f t="shared" si="11"/>
        <v>43006.117800628512</v>
      </c>
      <c r="S31" s="82">
        <f t="shared" si="11"/>
        <v>45585.427737197446</v>
      </c>
      <c r="T31" s="82">
        <f t="shared" si="11"/>
        <v>50327.124113172424</v>
      </c>
      <c r="U31" s="82">
        <f t="shared" si="11"/>
        <v>53655.905394595735</v>
      </c>
      <c r="V31" s="82">
        <f t="shared" si="11"/>
        <v>61101.16288078644</v>
      </c>
      <c r="W31" s="82">
        <f t="shared" si="11"/>
        <v>65546.384166063799</v>
      </c>
      <c r="X31" s="82">
        <f t="shared" si="11"/>
        <v>68013.176442033888</v>
      </c>
      <c r="Y31" s="82">
        <f t="shared" si="11"/>
        <v>71533.130089297862</v>
      </c>
      <c r="Z31" s="82">
        <f t="shared" si="11"/>
        <v>75169.975707520498</v>
      </c>
      <c r="AA31" s="82">
        <f t="shared" si="11"/>
        <v>77604.969193692566</v>
      </c>
      <c r="AB31" s="82">
        <f t="shared" si="11"/>
        <v>81638.218002544105</v>
      </c>
      <c r="AC31" s="82">
        <f t="shared" si="11"/>
        <v>86153.129019119995</v>
      </c>
      <c r="AD31" s="82">
        <f t="shared" si="11"/>
        <v>93133.173223677193</v>
      </c>
      <c r="AE31" s="82">
        <f t="shared" si="11"/>
        <v>96805.594957484747</v>
      </c>
      <c r="AF31" s="82">
        <f t="shared" si="11"/>
        <v>101418.93769231914</v>
      </c>
      <c r="AG31" s="82">
        <f t="shared" si="11"/>
        <v>106013.7736023679</v>
      </c>
      <c r="AH31" s="82">
        <f t="shared" si="11"/>
        <v>105000.00740775443</v>
      </c>
      <c r="AI31" s="82">
        <f t="shared" si="11"/>
        <v>107914.45492944476</v>
      </c>
      <c r="AJ31" s="82">
        <f t="shared" si="11"/>
        <v>113018.68577828712</v>
      </c>
      <c r="AK31" s="82">
        <f t="shared" si="11"/>
        <v>115337.70766392611</v>
      </c>
      <c r="AL31" s="82">
        <f t="shared" si="11"/>
        <v>111729.39377755026</v>
      </c>
    </row>
    <row r="32" spans="1:38"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</row>
    <row r="33" spans="2:38">
      <c r="B33" s="24" t="s">
        <v>309</v>
      </c>
      <c r="C33" s="83"/>
      <c r="D33" s="82">
        <f t="shared" ref="D33:AL33" si="12">-IF(D31&lt;0,0,D31*34%)</f>
        <v>0</v>
      </c>
      <c r="E33" s="82">
        <f t="shared" si="12"/>
        <v>0</v>
      </c>
      <c r="F33" s="82">
        <f t="shared" si="12"/>
        <v>-586.7469227496556</v>
      </c>
      <c r="G33" s="82">
        <f t="shared" si="12"/>
        <v>-2676.124018510699</v>
      </c>
      <c r="H33" s="82">
        <f t="shared" si="12"/>
        <v>-3727.8175506741209</v>
      </c>
      <c r="I33" s="82">
        <f>-IF(I31&lt;0,0,I31*34%)</f>
        <v>-4587.2757531176994</v>
      </c>
      <c r="J33" s="82">
        <f t="shared" si="12"/>
        <v>-5003.0307160233688</v>
      </c>
      <c r="K33" s="82">
        <f t="shared" si="12"/>
        <v>-5656.0969810662418</v>
      </c>
      <c r="L33" s="82">
        <f t="shared" si="12"/>
        <v>-6639.4296483094267</v>
      </c>
      <c r="M33" s="82">
        <f t="shared" si="12"/>
        <v>-10686.460029053351</v>
      </c>
      <c r="N33" s="82">
        <f t="shared" si="12"/>
        <v>-12815.009579910624</v>
      </c>
      <c r="O33" s="82">
        <f t="shared" si="12"/>
        <v>-13729.171347877393</v>
      </c>
      <c r="P33" s="82">
        <f t="shared" si="12"/>
        <v>-14700.908573002438</v>
      </c>
      <c r="Q33" s="82">
        <f t="shared" si="12"/>
        <v>-15292.958498481787</v>
      </c>
      <c r="R33" s="82">
        <f t="shared" si="12"/>
        <v>-14622.080052213694</v>
      </c>
      <c r="S33" s="82">
        <f t="shared" si="12"/>
        <v>-15499.045430647133</v>
      </c>
      <c r="T33" s="82">
        <f t="shared" si="12"/>
        <v>-17111.222198478627</v>
      </c>
      <c r="U33" s="82">
        <f t="shared" si="12"/>
        <v>-18243.007834162552</v>
      </c>
      <c r="V33" s="82">
        <f t="shared" si="12"/>
        <v>-20774.395379467391</v>
      </c>
      <c r="W33" s="82">
        <f t="shared" si="12"/>
        <v>-22285.770616461694</v>
      </c>
      <c r="X33" s="82">
        <f t="shared" si="12"/>
        <v>-23124.479990291522</v>
      </c>
      <c r="Y33" s="82">
        <f t="shared" si="12"/>
        <v>-24321.264230361274</v>
      </c>
      <c r="Z33" s="82">
        <f t="shared" si="12"/>
        <v>-25557.791740556971</v>
      </c>
      <c r="AA33" s="82">
        <f t="shared" si="12"/>
        <v>-26385.689525855476</v>
      </c>
      <c r="AB33" s="82">
        <f t="shared" si="12"/>
        <v>-27756.994120864998</v>
      </c>
      <c r="AC33" s="82">
        <f t="shared" si="12"/>
        <v>-29292.063866500801</v>
      </c>
      <c r="AD33" s="82">
        <f t="shared" si="12"/>
        <v>-31665.278896050248</v>
      </c>
      <c r="AE33" s="82">
        <f t="shared" si="12"/>
        <v>-32913.902285544813</v>
      </c>
      <c r="AF33" s="82">
        <f t="shared" si="12"/>
        <v>-34482.438815388508</v>
      </c>
      <c r="AG33" s="82">
        <f t="shared" si="12"/>
        <v>-36044.68302480509</v>
      </c>
      <c r="AH33" s="82">
        <f t="shared" si="12"/>
        <v>-35700.002518636509</v>
      </c>
      <c r="AI33" s="82">
        <f t="shared" si="12"/>
        <v>-36690.91467601122</v>
      </c>
      <c r="AJ33" s="82">
        <f t="shared" si="12"/>
        <v>-38426.353164617627</v>
      </c>
      <c r="AK33" s="82">
        <f t="shared" si="12"/>
        <v>-39214.82060573488</v>
      </c>
      <c r="AL33" s="82">
        <f t="shared" si="12"/>
        <v>-37987.99388436709</v>
      </c>
    </row>
    <row r="34" spans="2:38">
      <c r="B34" s="24" t="s">
        <v>310</v>
      </c>
      <c r="C34" s="83"/>
      <c r="D34" s="82">
        <f>D38+D39</f>
        <v>4693.3648897791945</v>
      </c>
      <c r="E34" s="82">
        <f t="shared" ref="E34:AL34" si="13">E38+E39</f>
        <v>7792.7473171180336</v>
      </c>
      <c r="F34" s="82">
        <f t="shared" si="13"/>
        <v>-251.46296689270952</v>
      </c>
      <c r="G34" s="82">
        <f t="shared" si="13"/>
        <v>-1146.9102936474424</v>
      </c>
      <c r="H34" s="82">
        <f t="shared" si="13"/>
        <v>-1597.6360931460517</v>
      </c>
      <c r="I34" s="82">
        <f t="shared" si="13"/>
        <v>-1965.9753227647279</v>
      </c>
      <c r="J34" s="82">
        <f t="shared" si="13"/>
        <v>-2144.1560211528727</v>
      </c>
      <c r="K34" s="82">
        <f t="shared" si="13"/>
        <v>-2424.0415633141038</v>
      </c>
      <c r="L34" s="82">
        <f t="shared" si="13"/>
        <v>-2845.4698492754687</v>
      </c>
      <c r="M34" s="82">
        <f t="shared" si="13"/>
        <v>-110.46009670385139</v>
      </c>
      <c r="N34" s="82">
        <f t="shared" si="13"/>
        <v>0</v>
      </c>
      <c r="O34" s="82">
        <f t="shared" si="13"/>
        <v>0</v>
      </c>
      <c r="P34" s="82">
        <f t="shared" si="13"/>
        <v>0</v>
      </c>
      <c r="Q34" s="82">
        <f t="shared" si="13"/>
        <v>0</v>
      </c>
      <c r="R34" s="82">
        <f t="shared" si="13"/>
        <v>0</v>
      </c>
      <c r="S34" s="82">
        <f t="shared" si="13"/>
        <v>0</v>
      </c>
      <c r="T34" s="82">
        <f t="shared" si="13"/>
        <v>0</v>
      </c>
      <c r="U34" s="82">
        <f t="shared" si="13"/>
        <v>0</v>
      </c>
      <c r="V34" s="82">
        <f t="shared" si="13"/>
        <v>0</v>
      </c>
      <c r="W34" s="82">
        <f t="shared" si="13"/>
        <v>0</v>
      </c>
      <c r="X34" s="82">
        <f t="shared" si="13"/>
        <v>0</v>
      </c>
      <c r="Y34" s="82">
        <f t="shared" si="13"/>
        <v>0</v>
      </c>
      <c r="Z34" s="82">
        <f t="shared" si="13"/>
        <v>0</v>
      </c>
      <c r="AA34" s="82">
        <f t="shared" si="13"/>
        <v>0</v>
      </c>
      <c r="AB34" s="82">
        <f t="shared" si="13"/>
        <v>0</v>
      </c>
      <c r="AC34" s="82">
        <f t="shared" si="13"/>
        <v>0</v>
      </c>
      <c r="AD34" s="82">
        <f t="shared" si="13"/>
        <v>0</v>
      </c>
      <c r="AE34" s="82">
        <f t="shared" si="13"/>
        <v>0</v>
      </c>
      <c r="AF34" s="82">
        <f t="shared" si="13"/>
        <v>0</v>
      </c>
      <c r="AG34" s="82">
        <f t="shared" si="13"/>
        <v>0</v>
      </c>
      <c r="AH34" s="82">
        <f t="shared" si="13"/>
        <v>0</v>
      </c>
      <c r="AI34" s="82">
        <f t="shared" si="13"/>
        <v>0</v>
      </c>
      <c r="AJ34" s="82">
        <f t="shared" si="13"/>
        <v>0</v>
      </c>
      <c r="AK34" s="82">
        <f t="shared" si="13"/>
        <v>0</v>
      </c>
      <c r="AL34" s="82">
        <f t="shared" si="13"/>
        <v>0</v>
      </c>
    </row>
    <row r="35" spans="2:38">
      <c r="B35" s="24" t="s">
        <v>311</v>
      </c>
      <c r="C35" s="83"/>
      <c r="D35" s="82">
        <f>(-D6+D22-SUM(QDF!E12:E15)+SUM(QDF!E4:E5))*34%</f>
        <v>0</v>
      </c>
      <c r="E35" s="82">
        <f>(-E6+E22-SUM(QDF!F12:F15)+SUM(QDF!F4:F5))*34%</f>
        <v>0</v>
      </c>
      <c r="F35" s="82">
        <f>(-F6+F22-SUM(QDF!G12:G15)+SUM(QDF!G4:G5))*34%</f>
        <v>0</v>
      </c>
      <c r="G35" s="82">
        <f>(-G6+G22-SUM(QDF!H12:H15)+SUM(QDF!H4:H5))*34%</f>
        <v>0</v>
      </c>
      <c r="H35" s="82">
        <f>(-H6+H22-SUM(QDF!I12:I15)+SUM(QDF!I4:I5))*34%</f>
        <v>0</v>
      </c>
      <c r="I35" s="82">
        <f>(-I6+I22-SUM(QDF!J12:J15)+SUM(QDF!J4:J5))*34%</f>
        <v>0</v>
      </c>
      <c r="J35" s="82">
        <f>(-J6+J22-SUM(QDF!K12:K15)+SUM(QDF!K4:K5))*34%</f>
        <v>0</v>
      </c>
      <c r="K35" s="82">
        <f>(-K6+K22-SUM(QDF!L12:L15)+SUM(QDF!L4:L5))*34%</f>
        <v>0</v>
      </c>
      <c r="L35" s="82">
        <f>(-L6+L22-SUM(QDF!M12:M15)+SUM(QDF!M4:M5))*34%</f>
        <v>0</v>
      </c>
      <c r="M35" s="82">
        <f>(-M6+M22-SUM(QDF!N12:N15)+SUM(QDF!N4:N5))*34%</f>
        <v>0</v>
      </c>
      <c r="N35" s="82">
        <f>(-N6+N22-SUM(QDF!O12:O15)+SUM(QDF!O4:O5))*34%</f>
        <v>0</v>
      </c>
      <c r="O35" s="82">
        <f>(-O6+O22-SUM(QDF!P12:P15)+SUM(QDF!P4:P5))*34%</f>
        <v>0</v>
      </c>
      <c r="P35" s="82">
        <f>(-P6+P22-SUM(QDF!Q12:Q15)+SUM(QDF!Q4:Q5))*34%</f>
        <v>0</v>
      </c>
      <c r="Q35" s="82">
        <f>(-Q6+Q22-SUM(QDF!R12:R15)+SUM(QDF!R4:R5))*34%</f>
        <v>0</v>
      </c>
      <c r="R35" s="82">
        <f>(-R6+R22-SUM(QDF!S12:S15)+SUM(QDF!S4:S5))*34%</f>
        <v>-25.399533391365587</v>
      </c>
      <c r="S35" s="82">
        <f>(-S6+S22-SUM(QDF!T12:T15)+SUM(QDF!T4:T5))*34%</f>
        <v>1.2699766695684958</v>
      </c>
      <c r="T35" s="82">
        <f>(-T6+T22-SUM(QDF!U12:U15)+SUM(QDF!U4:U5))*34%</f>
        <v>-84.261964810391532</v>
      </c>
      <c r="U35" s="82">
        <f>(-U6+U22-SUM(QDF!V12:V15)+SUM(QDF!V4:V5))*34%</f>
        <v>6.0217511962325814</v>
      </c>
      <c r="V35" s="82">
        <f>(-V6+V22-SUM(QDF!W12:W15)+SUM(QDF!W4:W5))*34%</f>
        <v>6.0217511962325814</v>
      </c>
      <c r="W35" s="82">
        <f>(-W6+W22-SUM(QDF!X12:X15)+SUM(QDF!X4:X5))*34%</f>
        <v>6.0217511962325814</v>
      </c>
      <c r="X35" s="82">
        <f>(-X6+X22-SUM(QDF!Y12:Y15)+SUM(QDF!Y4:Y5))*34%</f>
        <v>6.0217511962325814</v>
      </c>
      <c r="Y35" s="82">
        <f>(-Y6+Y22-SUM(QDF!Z12:Z15)+SUM(QDF!Z4:Z5))*34%</f>
        <v>6.0217511962325814</v>
      </c>
      <c r="Z35" s="82">
        <f>(-Z6+Z22-SUM(QDF!AA12:AA15)+SUM(QDF!AA4:AA5))*34%</f>
        <v>6.0217511962325814</v>
      </c>
      <c r="AA35" s="82">
        <f>(-AA6+AA22-SUM(QDF!AB12:AB15)+SUM(QDF!AB4:AB5))*34%</f>
        <v>6.0217511962325814</v>
      </c>
      <c r="AB35" s="82">
        <f>(-AB6+AB22-SUM(QDF!AC12:AC15)+SUM(QDF!AC4:AC5))*34%</f>
        <v>6.0217511962325814</v>
      </c>
      <c r="AC35" s="82">
        <f>(-AC6+AC22-SUM(QDF!AD12:AD15)+SUM(QDF!AD4:AD5))*34%</f>
        <v>6.0217511962325814</v>
      </c>
      <c r="AD35" s="82">
        <f>(-AD6+AD22-SUM(QDF!AE12:AE15)+SUM(QDF!AE4:AE5))*34%</f>
        <v>6.0217511962325814</v>
      </c>
      <c r="AE35" s="82">
        <f>(-AE6+AE22-SUM(QDF!AF12:AF15)+SUM(QDF!AF4:AF5))*34%</f>
        <v>6.0217511962325814</v>
      </c>
      <c r="AF35" s="82">
        <f>(-AF6+AF22-SUM(QDF!AG12:AG15)+SUM(QDF!AG4:AG5))*34%</f>
        <v>6.0217511962325814</v>
      </c>
      <c r="AG35" s="82">
        <f>(-AG6+AG22-SUM(QDF!AH12:AH15)+SUM(QDF!AH4:AH5))*34%</f>
        <v>-213.64370639139599</v>
      </c>
      <c r="AH35" s="82">
        <f>(-AH6+AH22-SUM(QDF!AI12:AI15)+SUM(QDF!AI4:AI5))*34%</f>
        <v>49.954842713758666</v>
      </c>
      <c r="AI35" s="82">
        <f>(-AI6+AI22-SUM(QDF!AJ12:AJ15)+SUM(QDF!AJ4:AJ5))*34%</f>
        <v>49.954842713758666</v>
      </c>
      <c r="AJ35" s="82">
        <f>(-AJ6+AJ22-SUM(QDF!AK12:AK15)+SUM(QDF!AK4:AK5))*34%</f>
        <v>49.954842713758666</v>
      </c>
      <c r="AK35" s="82">
        <f>(-AK6+AK22-SUM(QDF!AL12:AL15)+SUM(QDF!AL4:AL5))*34%</f>
        <v>49.954842713758666</v>
      </c>
      <c r="AL35" s="82">
        <f>(-AL6+AL22-SUM(QDF!AM12:AM15)+SUM(QDF!AM4:AM5))*34%</f>
        <v>49.954842713758048</v>
      </c>
    </row>
    <row r="37" spans="2:38">
      <c r="B37" s="24" t="s">
        <v>310</v>
      </c>
      <c r="C37" s="83"/>
      <c r="D37" s="82">
        <v>0</v>
      </c>
      <c r="E37" s="82">
        <f>D40</f>
        <v>4693.3648897791945</v>
      </c>
      <c r="F37" s="82">
        <f>E40</f>
        <v>12486.112206897229</v>
      </c>
      <c r="G37" s="82">
        <f t="shared" ref="G37:AL37" si="14">F40</f>
        <v>12234.649240004519</v>
      </c>
      <c r="H37" s="82">
        <f t="shared" si="14"/>
        <v>11087.738946357076</v>
      </c>
      <c r="I37" s="82">
        <f t="shared" si="14"/>
        <v>9490.1028532110249</v>
      </c>
      <c r="J37" s="82">
        <f t="shared" si="14"/>
        <v>7524.127530446297</v>
      </c>
      <c r="K37" s="82">
        <f t="shared" si="14"/>
        <v>5379.9715092934239</v>
      </c>
      <c r="L37" s="82">
        <f t="shared" si="14"/>
        <v>2955.9299459793201</v>
      </c>
      <c r="M37" s="82">
        <f t="shared" si="14"/>
        <v>110.46009670385138</v>
      </c>
      <c r="N37" s="82">
        <f t="shared" si="14"/>
        <v>0</v>
      </c>
      <c r="O37" s="82">
        <f t="shared" si="14"/>
        <v>0</v>
      </c>
      <c r="P37" s="82">
        <f t="shared" si="14"/>
        <v>0</v>
      </c>
      <c r="Q37" s="82">
        <f t="shared" si="14"/>
        <v>0</v>
      </c>
      <c r="R37" s="82">
        <f t="shared" si="14"/>
        <v>0</v>
      </c>
      <c r="S37" s="82">
        <f t="shared" si="14"/>
        <v>0</v>
      </c>
      <c r="T37" s="82">
        <f t="shared" si="14"/>
        <v>0</v>
      </c>
      <c r="U37" s="82">
        <f t="shared" si="14"/>
        <v>0</v>
      </c>
      <c r="V37" s="82">
        <f t="shared" si="14"/>
        <v>0</v>
      </c>
      <c r="W37" s="82">
        <f t="shared" si="14"/>
        <v>0</v>
      </c>
      <c r="X37" s="82">
        <f t="shared" si="14"/>
        <v>0</v>
      </c>
      <c r="Y37" s="82">
        <f t="shared" si="14"/>
        <v>0</v>
      </c>
      <c r="Z37" s="82">
        <f t="shared" si="14"/>
        <v>0</v>
      </c>
      <c r="AA37" s="82">
        <f t="shared" si="14"/>
        <v>0</v>
      </c>
      <c r="AB37" s="82">
        <f t="shared" si="14"/>
        <v>0</v>
      </c>
      <c r="AC37" s="82">
        <f t="shared" si="14"/>
        <v>0</v>
      </c>
      <c r="AD37" s="82">
        <f t="shared" si="14"/>
        <v>0</v>
      </c>
      <c r="AE37" s="82">
        <f t="shared" si="14"/>
        <v>0</v>
      </c>
      <c r="AF37" s="82">
        <f t="shared" si="14"/>
        <v>0</v>
      </c>
      <c r="AG37" s="82">
        <f t="shared" si="14"/>
        <v>0</v>
      </c>
      <c r="AH37" s="82">
        <f t="shared" si="14"/>
        <v>0</v>
      </c>
      <c r="AI37" s="82">
        <f t="shared" si="14"/>
        <v>0</v>
      </c>
      <c r="AJ37" s="82">
        <f t="shared" si="14"/>
        <v>0</v>
      </c>
      <c r="AK37" s="82">
        <f t="shared" si="14"/>
        <v>0</v>
      </c>
      <c r="AL37" s="82">
        <f t="shared" si="14"/>
        <v>0</v>
      </c>
    </row>
    <row r="38" spans="2:38">
      <c r="B38" s="24" t="s">
        <v>312</v>
      </c>
      <c r="C38" s="83"/>
      <c r="D38" s="82">
        <f t="shared" ref="D38:AL38" si="15">IF(D31&lt;0,-D31*34%,0)</f>
        <v>4693.3648897791945</v>
      </c>
      <c r="E38" s="82">
        <f t="shared" si="15"/>
        <v>5454.9231219826233</v>
      </c>
      <c r="F38" s="82">
        <f t="shared" si="15"/>
        <v>0</v>
      </c>
      <c r="G38" s="82">
        <f t="shared" si="15"/>
        <v>0</v>
      </c>
      <c r="H38" s="82">
        <f t="shared" si="15"/>
        <v>0</v>
      </c>
      <c r="I38" s="82">
        <f t="shared" si="15"/>
        <v>0</v>
      </c>
      <c r="J38" s="82">
        <f t="shared" si="15"/>
        <v>0</v>
      </c>
      <c r="K38" s="82">
        <f t="shared" si="15"/>
        <v>0</v>
      </c>
      <c r="L38" s="82">
        <f t="shared" si="15"/>
        <v>0</v>
      </c>
      <c r="M38" s="82">
        <f t="shared" si="15"/>
        <v>0</v>
      </c>
      <c r="N38" s="82">
        <f t="shared" si="15"/>
        <v>0</v>
      </c>
      <c r="O38" s="82">
        <f t="shared" si="15"/>
        <v>0</v>
      </c>
      <c r="P38" s="82">
        <f t="shared" si="15"/>
        <v>0</v>
      </c>
      <c r="Q38" s="82">
        <f t="shared" si="15"/>
        <v>0</v>
      </c>
      <c r="R38" s="82">
        <f t="shared" si="15"/>
        <v>0</v>
      </c>
      <c r="S38" s="82">
        <f t="shared" si="15"/>
        <v>0</v>
      </c>
      <c r="T38" s="82">
        <f t="shared" si="15"/>
        <v>0</v>
      </c>
      <c r="U38" s="82">
        <f t="shared" si="15"/>
        <v>0</v>
      </c>
      <c r="V38" s="82">
        <f t="shared" si="15"/>
        <v>0</v>
      </c>
      <c r="W38" s="82">
        <f t="shared" si="15"/>
        <v>0</v>
      </c>
      <c r="X38" s="82">
        <f t="shared" si="15"/>
        <v>0</v>
      </c>
      <c r="Y38" s="82">
        <f t="shared" si="15"/>
        <v>0</v>
      </c>
      <c r="Z38" s="82">
        <f t="shared" si="15"/>
        <v>0</v>
      </c>
      <c r="AA38" s="82">
        <f t="shared" si="15"/>
        <v>0</v>
      </c>
      <c r="AB38" s="82">
        <f t="shared" si="15"/>
        <v>0</v>
      </c>
      <c r="AC38" s="82">
        <f t="shared" si="15"/>
        <v>0</v>
      </c>
      <c r="AD38" s="82">
        <f t="shared" si="15"/>
        <v>0</v>
      </c>
      <c r="AE38" s="82">
        <f t="shared" si="15"/>
        <v>0</v>
      </c>
      <c r="AF38" s="82">
        <f t="shared" si="15"/>
        <v>0</v>
      </c>
      <c r="AG38" s="82">
        <f t="shared" si="15"/>
        <v>0</v>
      </c>
      <c r="AH38" s="82">
        <f t="shared" si="15"/>
        <v>0</v>
      </c>
      <c r="AI38" s="82">
        <f t="shared" si="15"/>
        <v>0</v>
      </c>
      <c r="AJ38" s="82">
        <f t="shared" si="15"/>
        <v>0</v>
      </c>
      <c r="AK38" s="82">
        <f t="shared" si="15"/>
        <v>0</v>
      </c>
      <c r="AL38" s="82">
        <f t="shared" si="15"/>
        <v>0</v>
      </c>
    </row>
    <row r="39" spans="2:38">
      <c r="B39" s="24" t="s">
        <v>313</v>
      </c>
      <c r="C39" s="83"/>
      <c r="D39" s="82">
        <f t="shared" ref="D39:AL39" si="16">D30*34%</f>
        <v>0</v>
      </c>
      <c r="E39" s="82">
        <f t="shared" si="16"/>
        <v>2337.8241951354098</v>
      </c>
      <c r="F39" s="82">
        <f t="shared" si="16"/>
        <v>-251.46296689270952</v>
      </c>
      <c r="G39" s="82">
        <f t="shared" si="16"/>
        <v>-1146.9102936474424</v>
      </c>
      <c r="H39" s="82">
        <f t="shared" si="16"/>
        <v>-1597.6360931460517</v>
      </c>
      <c r="I39" s="82">
        <f t="shared" si="16"/>
        <v>-1965.9753227647279</v>
      </c>
      <c r="J39" s="82">
        <f t="shared" si="16"/>
        <v>-2144.1560211528727</v>
      </c>
      <c r="K39" s="82">
        <f t="shared" si="16"/>
        <v>-2424.0415633141038</v>
      </c>
      <c r="L39" s="82">
        <f t="shared" si="16"/>
        <v>-2845.4698492754687</v>
      </c>
      <c r="M39" s="82">
        <f t="shared" si="16"/>
        <v>-110.46009670385139</v>
      </c>
      <c r="N39" s="82">
        <f t="shared" si="16"/>
        <v>0</v>
      </c>
      <c r="O39" s="82">
        <f t="shared" si="16"/>
        <v>0</v>
      </c>
      <c r="P39" s="82">
        <f t="shared" si="16"/>
        <v>0</v>
      </c>
      <c r="Q39" s="82">
        <f t="shared" si="16"/>
        <v>0</v>
      </c>
      <c r="R39" s="82">
        <f t="shared" si="16"/>
        <v>0</v>
      </c>
      <c r="S39" s="82">
        <f t="shared" si="16"/>
        <v>0</v>
      </c>
      <c r="T39" s="82">
        <f t="shared" si="16"/>
        <v>0</v>
      </c>
      <c r="U39" s="82">
        <f t="shared" si="16"/>
        <v>0</v>
      </c>
      <c r="V39" s="82">
        <f t="shared" si="16"/>
        <v>0</v>
      </c>
      <c r="W39" s="82">
        <f t="shared" si="16"/>
        <v>0</v>
      </c>
      <c r="X39" s="82">
        <f t="shared" si="16"/>
        <v>0</v>
      </c>
      <c r="Y39" s="82">
        <f t="shared" si="16"/>
        <v>0</v>
      </c>
      <c r="Z39" s="82">
        <f t="shared" si="16"/>
        <v>0</v>
      </c>
      <c r="AA39" s="82">
        <f t="shared" si="16"/>
        <v>0</v>
      </c>
      <c r="AB39" s="82">
        <f t="shared" si="16"/>
        <v>0</v>
      </c>
      <c r="AC39" s="82">
        <f t="shared" si="16"/>
        <v>0</v>
      </c>
      <c r="AD39" s="82">
        <f t="shared" si="16"/>
        <v>0</v>
      </c>
      <c r="AE39" s="82">
        <f t="shared" si="16"/>
        <v>0</v>
      </c>
      <c r="AF39" s="82">
        <f t="shared" si="16"/>
        <v>0</v>
      </c>
      <c r="AG39" s="82">
        <f t="shared" si="16"/>
        <v>0</v>
      </c>
      <c r="AH39" s="82">
        <f t="shared" si="16"/>
        <v>0</v>
      </c>
      <c r="AI39" s="82">
        <f t="shared" si="16"/>
        <v>0</v>
      </c>
      <c r="AJ39" s="82">
        <f t="shared" si="16"/>
        <v>0</v>
      </c>
      <c r="AK39" s="82">
        <f t="shared" si="16"/>
        <v>0</v>
      </c>
      <c r="AL39" s="82">
        <f t="shared" si="16"/>
        <v>0</v>
      </c>
    </row>
    <row r="40" spans="2:38">
      <c r="B40" s="24" t="s">
        <v>304</v>
      </c>
      <c r="C40" s="83"/>
      <c r="D40" s="82">
        <f>SUM(D37:D39)</f>
        <v>4693.3648897791945</v>
      </c>
      <c r="E40" s="82">
        <f>SUM(E37:E39)</f>
        <v>12486.112206897229</v>
      </c>
      <c r="F40" s="82">
        <f>SUM(F37:F39)</f>
        <v>12234.649240004519</v>
      </c>
      <c r="G40" s="82">
        <f t="shared" ref="G40:AL40" si="17">SUM(G37:G39)</f>
        <v>11087.738946357076</v>
      </c>
      <c r="H40" s="82">
        <f t="shared" si="17"/>
        <v>9490.1028532110249</v>
      </c>
      <c r="I40" s="82">
        <f t="shared" si="17"/>
        <v>7524.127530446297</v>
      </c>
      <c r="J40" s="82">
        <f t="shared" si="17"/>
        <v>5379.9715092934239</v>
      </c>
      <c r="K40" s="82">
        <f t="shared" si="17"/>
        <v>2955.9299459793201</v>
      </c>
      <c r="L40" s="82">
        <f t="shared" si="17"/>
        <v>110.46009670385138</v>
      </c>
      <c r="M40" s="82">
        <f t="shared" si="17"/>
        <v>0</v>
      </c>
      <c r="N40" s="82">
        <f t="shared" si="17"/>
        <v>0</v>
      </c>
      <c r="O40" s="82">
        <f t="shared" si="17"/>
        <v>0</v>
      </c>
      <c r="P40" s="82">
        <f t="shared" si="17"/>
        <v>0</v>
      </c>
      <c r="Q40" s="82">
        <f t="shared" si="17"/>
        <v>0</v>
      </c>
      <c r="R40" s="82">
        <f t="shared" si="17"/>
        <v>0</v>
      </c>
      <c r="S40" s="82">
        <f t="shared" si="17"/>
        <v>0</v>
      </c>
      <c r="T40" s="82">
        <f t="shared" si="17"/>
        <v>0</v>
      </c>
      <c r="U40" s="82">
        <f t="shared" si="17"/>
        <v>0</v>
      </c>
      <c r="V40" s="82">
        <f t="shared" si="17"/>
        <v>0</v>
      </c>
      <c r="W40" s="82">
        <f t="shared" si="17"/>
        <v>0</v>
      </c>
      <c r="X40" s="82">
        <f t="shared" si="17"/>
        <v>0</v>
      </c>
      <c r="Y40" s="82">
        <f t="shared" si="17"/>
        <v>0</v>
      </c>
      <c r="Z40" s="82">
        <f t="shared" si="17"/>
        <v>0</v>
      </c>
      <c r="AA40" s="82">
        <f t="shared" si="17"/>
        <v>0</v>
      </c>
      <c r="AB40" s="82">
        <f t="shared" si="17"/>
        <v>0</v>
      </c>
      <c r="AC40" s="82">
        <f t="shared" si="17"/>
        <v>0</v>
      </c>
      <c r="AD40" s="82">
        <f t="shared" si="17"/>
        <v>0</v>
      </c>
      <c r="AE40" s="82">
        <f t="shared" si="17"/>
        <v>0</v>
      </c>
      <c r="AF40" s="82">
        <f t="shared" si="17"/>
        <v>0</v>
      </c>
      <c r="AG40" s="82">
        <f t="shared" si="17"/>
        <v>0</v>
      </c>
      <c r="AH40" s="82">
        <f t="shared" si="17"/>
        <v>0</v>
      </c>
      <c r="AI40" s="82">
        <f t="shared" si="17"/>
        <v>0</v>
      </c>
      <c r="AJ40" s="82">
        <f t="shared" si="17"/>
        <v>0</v>
      </c>
      <c r="AK40" s="82">
        <f t="shared" si="17"/>
        <v>0</v>
      </c>
      <c r="AL40" s="82">
        <f t="shared" si="17"/>
        <v>0</v>
      </c>
    </row>
    <row r="41" spans="2:38">
      <c r="D41" s="69"/>
      <c r="E41" s="69"/>
      <c r="F41" s="69"/>
      <c r="G41" s="69"/>
      <c r="H41" s="69"/>
    </row>
    <row r="42" spans="2:38">
      <c r="B42" s="24" t="s">
        <v>352</v>
      </c>
      <c r="C42" s="83">
        <f>SUM(D42:AL42)</f>
        <v>-503089.13417337846</v>
      </c>
      <c r="D42" s="82">
        <f>D33/34%*25%</f>
        <v>0</v>
      </c>
      <c r="E42" s="82">
        <f>E33/34%*25%</f>
        <v>0</v>
      </c>
      <c r="F42" s="82">
        <f t="shared" ref="F42:AL42" si="18">F33/34%*25%</f>
        <v>-431.43156084533496</v>
      </c>
      <c r="G42" s="82">
        <f t="shared" si="18"/>
        <v>-1967.7382489049255</v>
      </c>
      <c r="H42" s="82">
        <f t="shared" si="18"/>
        <v>-2741.0423166721475</v>
      </c>
      <c r="I42" s="82">
        <f>I33/34%*25%</f>
        <v>-3372.9968772924258</v>
      </c>
      <c r="J42" s="82">
        <f t="shared" si="18"/>
        <v>-3678.6990558995358</v>
      </c>
      <c r="K42" s="82">
        <f t="shared" si="18"/>
        <v>-4158.8948390192954</v>
      </c>
      <c r="L42" s="82">
        <f t="shared" si="18"/>
        <v>-4881.9335649334016</v>
      </c>
      <c r="M42" s="82">
        <f t="shared" si="18"/>
        <v>-7857.6911978333455</v>
      </c>
      <c r="N42" s="82">
        <f t="shared" si="18"/>
        <v>-9422.8011616989879</v>
      </c>
      <c r="O42" s="82">
        <f t="shared" si="18"/>
        <v>-10094.978932262788</v>
      </c>
      <c r="P42" s="82">
        <f t="shared" si="18"/>
        <v>-10809.49159779591</v>
      </c>
      <c r="Q42" s="82">
        <f t="shared" si="18"/>
        <v>-11244.822425354254</v>
      </c>
      <c r="R42" s="82">
        <f t="shared" si="18"/>
        <v>-10751.529450157128</v>
      </c>
      <c r="S42" s="82">
        <f t="shared" si="18"/>
        <v>-11396.356934299361</v>
      </c>
      <c r="T42" s="82">
        <f t="shared" si="18"/>
        <v>-12581.781028293108</v>
      </c>
      <c r="U42" s="82">
        <f t="shared" si="18"/>
        <v>-13413.976348648934</v>
      </c>
      <c r="V42" s="82">
        <f t="shared" si="18"/>
        <v>-15275.29072019661</v>
      </c>
      <c r="W42" s="82">
        <f t="shared" si="18"/>
        <v>-16386.59604151595</v>
      </c>
      <c r="X42" s="82">
        <f t="shared" si="18"/>
        <v>-17003.294110508472</v>
      </c>
      <c r="Y42" s="82">
        <f t="shared" si="18"/>
        <v>-17883.282522324465</v>
      </c>
      <c r="Z42" s="82">
        <f t="shared" si="18"/>
        <v>-18792.493926880124</v>
      </c>
      <c r="AA42" s="82">
        <f t="shared" si="18"/>
        <v>-19401.242298423142</v>
      </c>
      <c r="AB42" s="82">
        <f t="shared" si="18"/>
        <v>-20409.554500636026</v>
      </c>
      <c r="AC42" s="82">
        <f t="shared" si="18"/>
        <v>-21538.282254779999</v>
      </c>
      <c r="AD42" s="82">
        <f t="shared" si="18"/>
        <v>-23283.293305919298</v>
      </c>
      <c r="AE42" s="82">
        <f t="shared" si="18"/>
        <v>-24201.398739371183</v>
      </c>
      <c r="AF42" s="82">
        <f t="shared" si="18"/>
        <v>-25354.734423079783</v>
      </c>
      <c r="AG42" s="82">
        <f t="shared" si="18"/>
        <v>-26503.443400591976</v>
      </c>
      <c r="AH42" s="82">
        <f t="shared" si="18"/>
        <v>-26250.001851938607</v>
      </c>
      <c r="AI42" s="82">
        <f t="shared" si="18"/>
        <v>-26978.613732361187</v>
      </c>
      <c r="AJ42" s="82">
        <f t="shared" si="18"/>
        <v>-28254.671444571784</v>
      </c>
      <c r="AK42" s="82">
        <f t="shared" si="18"/>
        <v>-28834.426915981527</v>
      </c>
      <c r="AL42" s="82">
        <f t="shared" si="18"/>
        <v>-27932.348444387564</v>
      </c>
    </row>
    <row r="43" spans="2:38">
      <c r="B43" s="24" t="s">
        <v>353</v>
      </c>
      <c r="C43" s="83">
        <f>SUM(D43:AL43)</f>
        <v>-181112.08830241626</v>
      </c>
      <c r="D43" s="82">
        <f>D33/34%*9%</f>
        <v>0</v>
      </c>
      <c r="E43" s="82">
        <f>E33/34%*9%</f>
        <v>0</v>
      </c>
      <c r="F43" s="82">
        <f t="shared" ref="F43:AL43" si="19">F33/34%*9%</f>
        <v>-155.31536190432058</v>
      </c>
      <c r="G43" s="82">
        <f t="shared" si="19"/>
        <v>-708.38576960577313</v>
      </c>
      <c r="H43" s="82">
        <f t="shared" si="19"/>
        <v>-986.7752340019731</v>
      </c>
      <c r="I43" s="82">
        <f>I33/34%*9%</f>
        <v>-1214.2788758252732</v>
      </c>
      <c r="J43" s="82">
        <f t="shared" si="19"/>
        <v>-1324.3316601238328</v>
      </c>
      <c r="K43" s="82">
        <f t="shared" si="19"/>
        <v>-1497.2021420469464</v>
      </c>
      <c r="L43" s="82">
        <f t="shared" si="19"/>
        <v>-1757.4960833760244</v>
      </c>
      <c r="M43" s="82">
        <f t="shared" si="19"/>
        <v>-2828.7688312200044</v>
      </c>
      <c r="N43" s="82">
        <f t="shared" si="19"/>
        <v>-3392.2084182116355</v>
      </c>
      <c r="O43" s="82">
        <f t="shared" si="19"/>
        <v>-3634.1924156146033</v>
      </c>
      <c r="P43" s="82">
        <f t="shared" si="19"/>
        <v>-3891.4169752065272</v>
      </c>
      <c r="Q43" s="82">
        <f t="shared" si="19"/>
        <v>-4048.1360731275313</v>
      </c>
      <c r="R43" s="82">
        <f t="shared" si="19"/>
        <v>-3870.5506020565658</v>
      </c>
      <c r="S43" s="82">
        <f t="shared" si="19"/>
        <v>-4102.6884963477696</v>
      </c>
      <c r="T43" s="82">
        <f t="shared" si="19"/>
        <v>-4529.4411701855188</v>
      </c>
      <c r="U43" s="82">
        <f t="shared" si="19"/>
        <v>-4829.0314855136157</v>
      </c>
      <c r="V43" s="82">
        <f t="shared" si="19"/>
        <v>-5499.1046592707789</v>
      </c>
      <c r="W43" s="82">
        <f t="shared" si="19"/>
        <v>-5899.1745749457414</v>
      </c>
      <c r="X43" s="82">
        <f t="shared" si="19"/>
        <v>-6121.18587978305</v>
      </c>
      <c r="Y43" s="82">
        <f t="shared" si="19"/>
        <v>-6437.9817080368075</v>
      </c>
      <c r="Z43" s="82">
        <f t="shared" si="19"/>
        <v>-6765.2978136768443</v>
      </c>
      <c r="AA43" s="82">
        <f t="shared" si="19"/>
        <v>-6984.4472274323307</v>
      </c>
      <c r="AB43" s="82">
        <f t="shared" si="19"/>
        <v>-7347.439620228969</v>
      </c>
      <c r="AC43" s="82">
        <f t="shared" si="19"/>
        <v>-7753.7816117207994</v>
      </c>
      <c r="AD43" s="82">
        <f t="shared" si="19"/>
        <v>-8381.9855901309475</v>
      </c>
      <c r="AE43" s="82">
        <f t="shared" si="19"/>
        <v>-8712.5035461736261</v>
      </c>
      <c r="AF43" s="82">
        <f t="shared" si="19"/>
        <v>-9127.7043923087222</v>
      </c>
      <c r="AG43" s="82">
        <f t="shared" si="19"/>
        <v>-9541.2396242131108</v>
      </c>
      <c r="AH43" s="82">
        <f t="shared" si="19"/>
        <v>-9450.0006666978989</v>
      </c>
      <c r="AI43" s="82">
        <f t="shared" si="19"/>
        <v>-9712.300943650027</v>
      </c>
      <c r="AJ43" s="82">
        <f t="shared" si="19"/>
        <v>-10171.681720045843</v>
      </c>
      <c r="AK43" s="82">
        <f t="shared" si="19"/>
        <v>-10380.393689753349</v>
      </c>
      <c r="AL43" s="82">
        <f t="shared" si="19"/>
        <v>-10055.645439979522</v>
      </c>
    </row>
    <row r="45" spans="2:38" ht="24.95" customHeight="1">
      <c r="B45" s="166" t="s">
        <v>380</v>
      </c>
      <c r="C45" s="41">
        <v>1351489.9200389998</v>
      </c>
      <c r="D45" s="41">
        <v>-1681.5719027235193</v>
      </c>
      <c r="E45" s="41">
        <v>1591.1821660151129</v>
      </c>
      <c r="F45" s="41">
        <v>5099.3977483748104</v>
      </c>
      <c r="G45" s="41">
        <v>6371.3269338716264</v>
      </c>
      <c r="H45" s="41">
        <v>6922.8569661019628</v>
      </c>
      <c r="I45" s="41">
        <v>9616.829984968248</v>
      </c>
      <c r="J45" s="41">
        <v>12240.010560677338</v>
      </c>
      <c r="K45" s="41">
        <v>14022.339216957542</v>
      </c>
      <c r="L45" s="41">
        <v>16556.326732380447</v>
      </c>
      <c r="M45" s="41">
        <v>18674.033008664901</v>
      </c>
      <c r="N45" s="41">
        <v>22226.104092507368</v>
      </c>
      <c r="O45" s="41">
        <v>23781.188838592854</v>
      </c>
      <c r="P45" s="41">
        <v>25662.974122955697</v>
      </c>
      <c r="Q45" s="41">
        <v>26782.970912344721</v>
      </c>
      <c r="R45" s="41">
        <v>27666.626484276378</v>
      </c>
      <c r="S45" s="41">
        <v>29964.718077528378</v>
      </c>
      <c r="T45" s="41">
        <v>33319.027595556865</v>
      </c>
      <c r="U45" s="41">
        <v>35921.626220678023</v>
      </c>
      <c r="V45" s="41">
        <v>40877.685120304915</v>
      </c>
      <c r="W45" s="41">
        <v>43796.566587874506</v>
      </c>
      <c r="X45" s="41">
        <v>45259.946435433623</v>
      </c>
      <c r="Y45" s="41">
        <v>47359.425007427119</v>
      </c>
      <c r="Z45" s="41">
        <v>49634.582572276027</v>
      </c>
      <c r="AA45" s="41">
        <v>51316.20405903647</v>
      </c>
      <c r="AB45" s="41">
        <v>54052.652575359971</v>
      </c>
      <c r="AC45" s="41">
        <v>57121.666916126444</v>
      </c>
      <c r="AD45" s="41">
        <v>61838.51214814579</v>
      </c>
      <c r="AE45" s="41">
        <v>64273.792616182604</v>
      </c>
      <c r="AF45" s="41">
        <v>67231.57979144869</v>
      </c>
      <c r="AG45" s="41">
        <v>70177.274066613987</v>
      </c>
      <c r="AH45" s="41">
        <v>72260.824321570166</v>
      </c>
      <c r="AI45" s="41">
        <v>74158.925091326848</v>
      </c>
      <c r="AJ45" s="41">
        <v>77498.353816043222</v>
      </c>
      <c r="AK45" s="41">
        <v>79016.462586389534</v>
      </c>
      <c r="AL45" s="41">
        <v>80877.498567711053</v>
      </c>
    </row>
    <row r="46" spans="2:38">
      <c r="B46" s="24" t="s">
        <v>314</v>
      </c>
      <c r="C46" s="83"/>
      <c r="D46" s="82">
        <v>-6243.8070343759755</v>
      </c>
      <c r="E46" s="82">
        <v>-496.9108641325729</v>
      </c>
      <c r="F46" s="82">
        <v>7926.4742779006447</v>
      </c>
      <c r="G46" s="82">
        <v>9853.6397104715725</v>
      </c>
      <c r="H46" s="82">
        <v>10689.291274456937</v>
      </c>
      <c r="I46" s="82">
        <v>14771.068575769492</v>
      </c>
      <c r="J46" s="82">
        <v>18745.584599571135</v>
      </c>
      <c r="K46" s="82">
        <v>21446.082563632055</v>
      </c>
      <c r="L46" s="82">
        <v>25285.457587000092</v>
      </c>
      <c r="M46" s="82">
        <v>28494.103460158352</v>
      </c>
      <c r="N46" s="82">
        <v>33876.029344768154</v>
      </c>
      <c r="O46" s="82">
        <v>36232.218353988595</v>
      </c>
      <c r="P46" s="82">
        <v>39083.408178780774</v>
      </c>
      <c r="Q46" s="82">
        <v>40780.373011188385</v>
      </c>
      <c r="R46" s="82">
        <v>42119.245089872711</v>
      </c>
      <c r="S46" s="82">
        <v>45601.202049345455</v>
      </c>
      <c r="T46" s="82">
        <v>50683.489197873459</v>
      </c>
      <c r="U46" s="82">
        <v>54626.820448057035</v>
      </c>
      <c r="V46" s="82">
        <v>62136.000599006875</v>
      </c>
      <c r="W46" s="82">
        <v>66558.548277142632</v>
      </c>
      <c r="X46" s="82">
        <v>68775.790470413995</v>
      </c>
      <c r="Y46" s="82">
        <v>71956.81860979808</v>
      </c>
      <c r="Z46" s="82">
        <v>75404.027041387337</v>
      </c>
      <c r="AA46" s="82">
        <v>77951.938384963767</v>
      </c>
      <c r="AB46" s="82">
        <v>82098.072500605456</v>
      </c>
      <c r="AC46" s="82">
        <v>86748.094229039489</v>
      </c>
      <c r="AD46" s="82">
        <v>93894.829429068792</v>
      </c>
      <c r="AE46" s="82">
        <v>97584.648320033666</v>
      </c>
      <c r="AF46" s="82">
        <v>102066.14404013379</v>
      </c>
      <c r="AG46" s="82">
        <v>106529.31718432363</v>
      </c>
      <c r="AH46" s="82">
        <v>109686.21151001482</v>
      </c>
      <c r="AI46" s="82">
        <v>112562.12176722191</v>
      </c>
      <c r="AJ46" s="82">
        <v>117621.86225921642</v>
      </c>
      <c r="AK46" s="82">
        <v>119922.02706277145</v>
      </c>
      <c r="AL46" s="82">
        <v>122741.77854962225</v>
      </c>
    </row>
    <row r="47" spans="2:38">
      <c r="B47" s="24" t="s">
        <v>315</v>
      </c>
      <c r="C47" s="83"/>
      <c r="D47" s="82">
        <v>0</v>
      </c>
      <c r="E47" s="82">
        <v>149.07325923977186</v>
      </c>
      <c r="F47" s="82">
        <v>-2377.9422833701933</v>
      </c>
      <c r="G47" s="82">
        <v>-2956.0919131414717</v>
      </c>
      <c r="H47" s="82">
        <v>-1406.6837019968839</v>
      </c>
      <c r="I47" s="82">
        <v>0</v>
      </c>
      <c r="J47" s="82">
        <v>0</v>
      </c>
      <c r="K47" s="82">
        <v>0</v>
      </c>
      <c r="L47" s="82">
        <v>0</v>
      </c>
      <c r="M47" s="82">
        <v>0</v>
      </c>
      <c r="N47" s="82">
        <v>0</v>
      </c>
      <c r="O47" s="82">
        <v>0</v>
      </c>
      <c r="P47" s="82">
        <v>0</v>
      </c>
      <c r="Q47" s="82">
        <v>0</v>
      </c>
      <c r="R47" s="82">
        <v>0</v>
      </c>
      <c r="S47" s="82">
        <v>0</v>
      </c>
      <c r="T47" s="82">
        <v>0</v>
      </c>
      <c r="U47" s="82">
        <v>0</v>
      </c>
      <c r="V47" s="82">
        <v>0</v>
      </c>
      <c r="W47" s="82">
        <v>0</v>
      </c>
      <c r="X47" s="82">
        <v>0</v>
      </c>
      <c r="Y47" s="82">
        <v>0</v>
      </c>
      <c r="Z47" s="82">
        <v>0</v>
      </c>
      <c r="AA47" s="82">
        <v>0</v>
      </c>
      <c r="AB47" s="82">
        <v>0</v>
      </c>
      <c r="AC47" s="82">
        <v>0</v>
      </c>
      <c r="AD47" s="82">
        <v>0</v>
      </c>
      <c r="AE47" s="82">
        <v>0</v>
      </c>
      <c r="AF47" s="82">
        <v>0</v>
      </c>
      <c r="AG47" s="82">
        <v>0</v>
      </c>
      <c r="AH47" s="82">
        <v>0</v>
      </c>
      <c r="AI47" s="82">
        <v>0</v>
      </c>
      <c r="AJ47" s="82">
        <v>0</v>
      </c>
      <c r="AK47" s="82">
        <v>0</v>
      </c>
      <c r="AL47" s="82">
        <v>0</v>
      </c>
    </row>
    <row r="48" spans="2:38">
      <c r="B48" s="24" t="s">
        <v>316</v>
      </c>
      <c r="C48" s="83"/>
      <c r="D48" s="82">
        <v>-6243.8070343759755</v>
      </c>
      <c r="E48" s="82">
        <v>-347.83760489280104</v>
      </c>
      <c r="F48" s="82">
        <v>5548.5319945304509</v>
      </c>
      <c r="G48" s="82">
        <v>6897.5477973301004</v>
      </c>
      <c r="H48" s="82">
        <v>9282.6075724600523</v>
      </c>
      <c r="I48" s="82">
        <v>14771.068575769492</v>
      </c>
      <c r="J48" s="82">
        <v>18745.584599571135</v>
      </c>
      <c r="K48" s="82">
        <v>21446.082563632055</v>
      </c>
      <c r="L48" s="82">
        <v>25285.457587000092</v>
      </c>
      <c r="M48" s="82">
        <v>28494.103460158352</v>
      </c>
      <c r="N48" s="82">
        <v>33876.029344768154</v>
      </c>
      <c r="O48" s="82">
        <v>36232.218353988595</v>
      </c>
      <c r="P48" s="82">
        <v>39083.408178780774</v>
      </c>
      <c r="Q48" s="82">
        <v>40780.373011188385</v>
      </c>
      <c r="R48" s="82">
        <v>42119.245089872711</v>
      </c>
      <c r="S48" s="82">
        <v>45601.202049345455</v>
      </c>
      <c r="T48" s="82">
        <v>50683.489197873459</v>
      </c>
      <c r="U48" s="82">
        <v>54626.820448057035</v>
      </c>
      <c r="V48" s="82">
        <v>62136.000599006875</v>
      </c>
      <c r="W48" s="82">
        <v>66558.548277142632</v>
      </c>
      <c r="X48" s="82">
        <v>68775.790470413995</v>
      </c>
      <c r="Y48" s="82">
        <v>71956.81860979808</v>
      </c>
      <c r="Z48" s="82">
        <v>75404.027041387337</v>
      </c>
      <c r="AA48" s="82">
        <v>77951.938384963767</v>
      </c>
      <c r="AB48" s="82">
        <v>82098.072500605456</v>
      </c>
      <c r="AC48" s="82">
        <v>86748.094229039489</v>
      </c>
      <c r="AD48" s="82">
        <v>93894.829429068792</v>
      </c>
      <c r="AE48" s="82">
        <v>97584.648320033666</v>
      </c>
      <c r="AF48" s="82">
        <v>102066.14404013379</v>
      </c>
      <c r="AG48" s="82">
        <v>106529.31718432363</v>
      </c>
      <c r="AH48" s="82">
        <v>109686.21151001482</v>
      </c>
      <c r="AI48" s="82">
        <v>112562.12176722191</v>
      </c>
      <c r="AJ48" s="82">
        <v>117621.86225921642</v>
      </c>
      <c r="AK48" s="82">
        <v>119922.02706277145</v>
      </c>
      <c r="AL48" s="82">
        <v>122741.77854962225</v>
      </c>
    </row>
    <row r="49" spans="2:38"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</row>
    <row r="50" spans="2:38">
      <c r="B50" s="24" t="s">
        <v>309</v>
      </c>
      <c r="C50" s="83"/>
      <c r="D50" s="82">
        <v>0</v>
      </c>
      <c r="E50" s="82">
        <v>0</v>
      </c>
      <c r="F50" s="82">
        <v>-1886.5008781403535</v>
      </c>
      <c r="G50" s="82">
        <v>-2345.1662510922342</v>
      </c>
      <c r="H50" s="82">
        <v>-3156.0865746364179</v>
      </c>
      <c r="I50" s="82">
        <v>-5022.1633157616279</v>
      </c>
      <c r="J50" s="82">
        <v>-6373.4987638541861</v>
      </c>
      <c r="K50" s="82">
        <v>-7291.6680716348992</v>
      </c>
      <c r="L50" s="82">
        <v>-8597.0555795800319</v>
      </c>
      <c r="M50" s="82">
        <v>-9687.99517645384</v>
      </c>
      <c r="N50" s="82">
        <v>-11517.849977221173</v>
      </c>
      <c r="O50" s="82">
        <v>-12318.954240356123</v>
      </c>
      <c r="P50" s="82">
        <v>-13288.358780785464</v>
      </c>
      <c r="Q50" s="82">
        <v>-13865.326823804053</v>
      </c>
      <c r="R50" s="82">
        <v>-14320.543330556722</v>
      </c>
      <c r="S50" s="82">
        <v>-15504.408696777456</v>
      </c>
      <c r="T50" s="82">
        <v>-17232.386327276978</v>
      </c>
      <c r="U50" s="82">
        <v>-18573.118952339391</v>
      </c>
      <c r="V50" s="82">
        <v>-21126.240203662339</v>
      </c>
      <c r="W50" s="82">
        <v>-22629.906414228495</v>
      </c>
      <c r="X50" s="82">
        <v>-23383.768759940758</v>
      </c>
      <c r="Y50" s="82">
        <v>-24465.318327331348</v>
      </c>
      <c r="Z50" s="82">
        <v>-25637.369194071696</v>
      </c>
      <c r="AA50" s="82">
        <v>-26503.659050887683</v>
      </c>
      <c r="AB50" s="82">
        <v>-27913.344650205858</v>
      </c>
      <c r="AC50" s="82">
        <v>-29494.352037873428</v>
      </c>
      <c r="AD50" s="82">
        <v>-31924.242005883392</v>
      </c>
      <c r="AE50" s="82">
        <v>-33178.780428811449</v>
      </c>
      <c r="AF50" s="82">
        <v>-34702.488973645493</v>
      </c>
      <c r="AG50" s="82">
        <v>-36219.967842670041</v>
      </c>
      <c r="AH50" s="82">
        <v>-37293.311913405043</v>
      </c>
      <c r="AI50" s="82">
        <v>-38271.121400855453</v>
      </c>
      <c r="AJ50" s="82">
        <v>-39991.433168133583</v>
      </c>
      <c r="AK50" s="82">
        <v>-40773.489201342294</v>
      </c>
      <c r="AL50" s="82">
        <v>-41732.204706871569</v>
      </c>
    </row>
    <row r="51" spans="2:38">
      <c r="B51" s="24" t="s">
        <v>310</v>
      </c>
      <c r="C51" s="83"/>
      <c r="D51" s="82">
        <v>2122.894391687832</v>
      </c>
      <c r="E51" s="82">
        <v>168.94969380507479</v>
      </c>
      <c r="F51" s="82">
        <v>-808.50037634586579</v>
      </c>
      <c r="G51" s="82">
        <v>-1005.0712504681004</v>
      </c>
      <c r="H51" s="82">
        <v>-478.27245867894055</v>
      </c>
      <c r="I51" s="82">
        <v>0</v>
      </c>
      <c r="J51" s="82">
        <v>0</v>
      </c>
      <c r="K51" s="82">
        <v>0</v>
      </c>
      <c r="L51" s="82">
        <v>0</v>
      </c>
      <c r="M51" s="82">
        <v>0</v>
      </c>
      <c r="N51" s="82">
        <v>0</v>
      </c>
      <c r="O51" s="82">
        <v>0</v>
      </c>
      <c r="P51" s="82">
        <v>0</v>
      </c>
      <c r="Q51" s="82">
        <v>0</v>
      </c>
      <c r="R51" s="82">
        <v>0</v>
      </c>
      <c r="S51" s="82">
        <v>0</v>
      </c>
      <c r="T51" s="82">
        <v>0</v>
      </c>
      <c r="U51" s="82">
        <v>0</v>
      </c>
      <c r="V51" s="82">
        <v>0</v>
      </c>
      <c r="W51" s="82">
        <v>0</v>
      </c>
      <c r="X51" s="82">
        <v>0</v>
      </c>
      <c r="Y51" s="82">
        <v>0</v>
      </c>
      <c r="Z51" s="82">
        <v>0</v>
      </c>
      <c r="AA51" s="82">
        <v>0</v>
      </c>
      <c r="AB51" s="82">
        <v>0</v>
      </c>
      <c r="AC51" s="82">
        <v>0</v>
      </c>
      <c r="AD51" s="82">
        <v>0</v>
      </c>
      <c r="AE51" s="82">
        <v>0</v>
      </c>
      <c r="AF51" s="82">
        <v>0</v>
      </c>
      <c r="AG51" s="82">
        <v>0</v>
      </c>
      <c r="AH51" s="82">
        <v>0</v>
      </c>
      <c r="AI51" s="82">
        <v>0</v>
      </c>
      <c r="AJ51" s="82">
        <v>0</v>
      </c>
      <c r="AK51" s="82">
        <v>0</v>
      </c>
      <c r="AL51" s="82">
        <v>0</v>
      </c>
    </row>
    <row r="52" spans="2:38">
      <c r="B52" s="24" t="s">
        <v>311</v>
      </c>
      <c r="C52" s="83"/>
      <c r="D52" s="82">
        <v>-1256.6300781635944</v>
      </c>
      <c r="E52" s="82">
        <v>-988.64959750982996</v>
      </c>
      <c r="F52" s="82">
        <v>68.038778050709851</v>
      </c>
      <c r="G52" s="82">
        <v>68.038778050709851</v>
      </c>
      <c r="H52" s="82">
        <v>68.038778050709851</v>
      </c>
      <c r="I52" s="82">
        <v>68.038778050709851</v>
      </c>
      <c r="J52" s="82">
        <v>68.038778050709851</v>
      </c>
      <c r="K52" s="82">
        <v>68.038778050709851</v>
      </c>
      <c r="L52" s="82">
        <v>68.038778050709851</v>
      </c>
      <c r="M52" s="82">
        <v>68.038778050709851</v>
      </c>
      <c r="N52" s="82">
        <v>68.038778050709851</v>
      </c>
      <c r="O52" s="82">
        <v>68.038778050709851</v>
      </c>
      <c r="P52" s="82">
        <v>68.038778050709851</v>
      </c>
      <c r="Q52" s="82">
        <v>68.038778050709851</v>
      </c>
      <c r="R52" s="82">
        <v>68.038778050709851</v>
      </c>
      <c r="S52" s="82">
        <v>68.038778050709851</v>
      </c>
      <c r="T52" s="82">
        <v>68.038778050709851</v>
      </c>
      <c r="U52" s="82">
        <v>68.038778050709851</v>
      </c>
      <c r="V52" s="82">
        <v>68.038778050709851</v>
      </c>
      <c r="W52" s="82">
        <v>68.038778050709851</v>
      </c>
      <c r="X52" s="82">
        <v>68.038778050709851</v>
      </c>
      <c r="Y52" s="82">
        <v>68.038778050709851</v>
      </c>
      <c r="Z52" s="82">
        <v>68.038778050709851</v>
      </c>
      <c r="AA52" s="82">
        <v>68.038778050709851</v>
      </c>
      <c r="AB52" s="82">
        <v>68.038778050709851</v>
      </c>
      <c r="AC52" s="82">
        <v>68.038778050709851</v>
      </c>
      <c r="AD52" s="82">
        <v>68.038778050709851</v>
      </c>
      <c r="AE52" s="82">
        <v>68.038778050709851</v>
      </c>
      <c r="AF52" s="82">
        <v>68.038778050709851</v>
      </c>
      <c r="AG52" s="82">
        <v>68.038778050709851</v>
      </c>
      <c r="AH52" s="82">
        <v>68.038778050709851</v>
      </c>
      <c r="AI52" s="82">
        <v>68.038778050709851</v>
      </c>
      <c r="AJ52" s="82">
        <v>68.038778050709851</v>
      </c>
      <c r="AK52" s="82">
        <v>68.038778050709851</v>
      </c>
      <c r="AL52" s="82">
        <v>68.038778050709851</v>
      </c>
    </row>
    <row r="54" spans="2:38">
      <c r="B54" s="24" t="s">
        <v>310</v>
      </c>
      <c r="C54" s="83"/>
      <c r="D54" s="82">
        <v>0</v>
      </c>
      <c r="E54" s="82">
        <v>2122.894391687832</v>
      </c>
      <c r="F54" s="82">
        <v>2291.8440854929067</v>
      </c>
      <c r="G54" s="82">
        <v>1483.343709147041</v>
      </c>
      <c r="H54" s="82">
        <v>478.27245867894055</v>
      </c>
      <c r="I54" s="82">
        <v>0</v>
      </c>
      <c r="J54" s="82">
        <v>0</v>
      </c>
      <c r="K54" s="82">
        <v>0</v>
      </c>
      <c r="L54" s="82">
        <v>0</v>
      </c>
      <c r="M54" s="82">
        <v>0</v>
      </c>
      <c r="N54" s="82">
        <v>0</v>
      </c>
      <c r="O54" s="82">
        <v>0</v>
      </c>
      <c r="P54" s="82">
        <v>0</v>
      </c>
      <c r="Q54" s="82">
        <v>0</v>
      </c>
      <c r="R54" s="82">
        <v>0</v>
      </c>
      <c r="S54" s="82">
        <v>0</v>
      </c>
      <c r="T54" s="82">
        <v>0</v>
      </c>
      <c r="U54" s="82">
        <v>0</v>
      </c>
      <c r="V54" s="82">
        <v>0</v>
      </c>
      <c r="W54" s="82">
        <v>0</v>
      </c>
      <c r="X54" s="82">
        <v>0</v>
      </c>
      <c r="Y54" s="82">
        <v>0</v>
      </c>
      <c r="Z54" s="82">
        <v>0</v>
      </c>
      <c r="AA54" s="82">
        <v>0</v>
      </c>
      <c r="AB54" s="82">
        <v>0</v>
      </c>
      <c r="AC54" s="82">
        <v>0</v>
      </c>
      <c r="AD54" s="82">
        <v>0</v>
      </c>
      <c r="AE54" s="82">
        <v>0</v>
      </c>
      <c r="AF54" s="82">
        <v>0</v>
      </c>
      <c r="AG54" s="82">
        <v>0</v>
      </c>
      <c r="AH54" s="82">
        <v>0</v>
      </c>
      <c r="AI54" s="82">
        <v>0</v>
      </c>
      <c r="AJ54" s="82">
        <v>0</v>
      </c>
      <c r="AK54" s="82">
        <v>0</v>
      </c>
      <c r="AL54" s="82">
        <v>0</v>
      </c>
    </row>
    <row r="55" spans="2:38">
      <c r="B55" s="24" t="s">
        <v>312</v>
      </c>
      <c r="C55" s="83"/>
      <c r="D55" s="82">
        <v>2122.894391687832</v>
      </c>
      <c r="E55" s="82">
        <v>118.26478566355236</v>
      </c>
      <c r="F55" s="82">
        <v>0</v>
      </c>
      <c r="G55" s="82">
        <v>0</v>
      </c>
      <c r="H55" s="82">
        <v>0</v>
      </c>
      <c r="I55" s="82">
        <v>0</v>
      </c>
      <c r="J55" s="82">
        <v>0</v>
      </c>
      <c r="K55" s="82">
        <v>0</v>
      </c>
      <c r="L55" s="82">
        <v>0</v>
      </c>
      <c r="M55" s="82">
        <v>0</v>
      </c>
      <c r="N55" s="82">
        <v>0</v>
      </c>
      <c r="O55" s="82">
        <v>0</v>
      </c>
      <c r="P55" s="82">
        <v>0</v>
      </c>
      <c r="Q55" s="82">
        <v>0</v>
      </c>
      <c r="R55" s="82">
        <v>0</v>
      </c>
      <c r="S55" s="82">
        <v>0</v>
      </c>
      <c r="T55" s="82">
        <v>0</v>
      </c>
      <c r="U55" s="82">
        <v>0</v>
      </c>
      <c r="V55" s="82">
        <v>0</v>
      </c>
      <c r="W55" s="82">
        <v>0</v>
      </c>
      <c r="X55" s="82">
        <v>0</v>
      </c>
      <c r="Y55" s="82">
        <v>0</v>
      </c>
      <c r="Z55" s="82">
        <v>0</v>
      </c>
      <c r="AA55" s="82">
        <v>0</v>
      </c>
      <c r="AB55" s="82">
        <v>0</v>
      </c>
      <c r="AC55" s="82">
        <v>0</v>
      </c>
      <c r="AD55" s="82">
        <v>0</v>
      </c>
      <c r="AE55" s="82">
        <v>0</v>
      </c>
      <c r="AF55" s="82">
        <v>0</v>
      </c>
      <c r="AG55" s="82">
        <v>0</v>
      </c>
      <c r="AH55" s="82">
        <v>0</v>
      </c>
      <c r="AI55" s="82">
        <v>0</v>
      </c>
      <c r="AJ55" s="82">
        <v>0</v>
      </c>
      <c r="AK55" s="82">
        <v>0</v>
      </c>
      <c r="AL55" s="82">
        <v>0</v>
      </c>
    </row>
    <row r="56" spans="2:38">
      <c r="B56" s="24" t="s">
        <v>313</v>
      </c>
      <c r="C56" s="83"/>
      <c r="D56" s="82">
        <v>0</v>
      </c>
      <c r="E56" s="82">
        <v>50.684908141522435</v>
      </c>
      <c r="F56" s="82">
        <v>-808.50037634586579</v>
      </c>
      <c r="G56" s="82">
        <v>-1005.0712504681004</v>
      </c>
      <c r="H56" s="82">
        <v>-478.27245867894055</v>
      </c>
      <c r="I56" s="82">
        <v>0</v>
      </c>
      <c r="J56" s="82">
        <v>0</v>
      </c>
      <c r="K56" s="82">
        <v>0</v>
      </c>
      <c r="L56" s="82">
        <v>0</v>
      </c>
      <c r="M56" s="82">
        <v>0</v>
      </c>
      <c r="N56" s="82">
        <v>0</v>
      </c>
      <c r="O56" s="82">
        <v>0</v>
      </c>
      <c r="P56" s="82">
        <v>0</v>
      </c>
      <c r="Q56" s="82">
        <v>0</v>
      </c>
      <c r="R56" s="82">
        <v>0</v>
      </c>
      <c r="S56" s="82">
        <v>0</v>
      </c>
      <c r="T56" s="82">
        <v>0</v>
      </c>
      <c r="U56" s="82">
        <v>0</v>
      </c>
      <c r="V56" s="82">
        <v>0</v>
      </c>
      <c r="W56" s="82">
        <v>0</v>
      </c>
      <c r="X56" s="82">
        <v>0</v>
      </c>
      <c r="Y56" s="82">
        <v>0</v>
      </c>
      <c r="Z56" s="82">
        <v>0</v>
      </c>
      <c r="AA56" s="82">
        <v>0</v>
      </c>
      <c r="AB56" s="82">
        <v>0</v>
      </c>
      <c r="AC56" s="82">
        <v>0</v>
      </c>
      <c r="AD56" s="82">
        <v>0</v>
      </c>
      <c r="AE56" s="82">
        <v>0</v>
      </c>
      <c r="AF56" s="82">
        <v>0</v>
      </c>
      <c r="AG56" s="82">
        <v>0</v>
      </c>
      <c r="AH56" s="82">
        <v>0</v>
      </c>
      <c r="AI56" s="82">
        <v>0</v>
      </c>
      <c r="AJ56" s="82">
        <v>0</v>
      </c>
      <c r="AK56" s="82">
        <v>0</v>
      </c>
      <c r="AL56" s="82">
        <v>0</v>
      </c>
    </row>
    <row r="57" spans="2:38">
      <c r="B57" s="24" t="s">
        <v>304</v>
      </c>
      <c r="C57" s="83"/>
      <c r="D57" s="82">
        <v>2122.894391687832</v>
      </c>
      <c r="E57" s="82">
        <v>2291.8440854929067</v>
      </c>
      <c r="F57" s="82">
        <v>1483.343709147041</v>
      </c>
      <c r="G57" s="82">
        <v>478.27245867894055</v>
      </c>
      <c r="H57" s="82">
        <v>0</v>
      </c>
      <c r="I57" s="82">
        <v>0</v>
      </c>
      <c r="J57" s="82">
        <v>0</v>
      </c>
      <c r="K57" s="82">
        <v>0</v>
      </c>
      <c r="L57" s="82">
        <v>0</v>
      </c>
      <c r="M57" s="82">
        <v>0</v>
      </c>
      <c r="N57" s="82">
        <v>0</v>
      </c>
      <c r="O57" s="82">
        <v>0</v>
      </c>
      <c r="P57" s="82">
        <v>0</v>
      </c>
      <c r="Q57" s="82">
        <v>0</v>
      </c>
      <c r="R57" s="82">
        <v>0</v>
      </c>
      <c r="S57" s="82">
        <v>0</v>
      </c>
      <c r="T57" s="82">
        <v>0</v>
      </c>
      <c r="U57" s="82">
        <v>0</v>
      </c>
      <c r="V57" s="82">
        <v>0</v>
      </c>
      <c r="W57" s="82">
        <v>0</v>
      </c>
      <c r="X57" s="82">
        <v>0</v>
      </c>
      <c r="Y57" s="82">
        <v>0</v>
      </c>
      <c r="Z57" s="82">
        <v>0</v>
      </c>
      <c r="AA57" s="82">
        <v>0</v>
      </c>
      <c r="AB57" s="82">
        <v>0</v>
      </c>
      <c r="AC57" s="82">
        <v>0</v>
      </c>
      <c r="AD57" s="82">
        <v>0</v>
      </c>
      <c r="AE57" s="82">
        <v>0</v>
      </c>
      <c r="AF57" s="82">
        <v>0</v>
      </c>
      <c r="AG57" s="82">
        <v>0</v>
      </c>
      <c r="AH57" s="82">
        <v>0</v>
      </c>
      <c r="AI57" s="82">
        <v>0</v>
      </c>
      <c r="AJ57" s="82">
        <v>0</v>
      </c>
      <c r="AK57" s="82">
        <v>0</v>
      </c>
      <c r="AL57" s="82">
        <v>0</v>
      </c>
    </row>
    <row r="58" spans="2:38">
      <c r="D58" s="69"/>
      <c r="E58" s="69"/>
      <c r="F58" s="69"/>
      <c r="G58" s="69"/>
      <c r="H58" s="69"/>
    </row>
    <row r="59" spans="2:38">
      <c r="B59" s="24" t="s">
        <v>352</v>
      </c>
      <c r="C59" s="83">
        <v>-511928.0000147727</v>
      </c>
      <c r="D59" s="82">
        <v>0</v>
      </c>
      <c r="E59" s="82">
        <v>0</v>
      </c>
      <c r="F59" s="82">
        <v>-1387.1329986326127</v>
      </c>
      <c r="G59" s="82">
        <v>-1724.3869493325251</v>
      </c>
      <c r="H59" s="82">
        <v>-2320.6518931150131</v>
      </c>
      <c r="I59" s="82">
        <v>-3692.7671439423734</v>
      </c>
      <c r="J59" s="82">
        <v>-4686.3961498927838</v>
      </c>
      <c r="K59" s="82">
        <v>-5361.5206409080138</v>
      </c>
      <c r="L59" s="82">
        <v>-6321.3643967500229</v>
      </c>
      <c r="M59" s="82">
        <v>-7123.5258650395881</v>
      </c>
      <c r="N59" s="82">
        <v>-8469.0073361920386</v>
      </c>
      <c r="O59" s="82">
        <v>-9058.0545884971489</v>
      </c>
      <c r="P59" s="82">
        <v>-9770.8520446951934</v>
      </c>
      <c r="Q59" s="82">
        <v>-10195.093252797096</v>
      </c>
      <c r="R59" s="82">
        <v>-10529.811272468178</v>
      </c>
      <c r="S59" s="82">
        <v>-11400.300512336364</v>
      </c>
      <c r="T59" s="82">
        <v>-12670.872299468365</v>
      </c>
      <c r="U59" s="82">
        <v>-13656.705112014257</v>
      </c>
      <c r="V59" s="82">
        <v>-15534.000149751719</v>
      </c>
      <c r="W59" s="82">
        <v>-16639.637069285658</v>
      </c>
      <c r="X59" s="82">
        <v>-17193.947617603499</v>
      </c>
      <c r="Y59" s="82">
        <v>-17989.20465244952</v>
      </c>
      <c r="Z59" s="82">
        <v>-18851.006760346834</v>
      </c>
      <c r="AA59" s="82">
        <v>-19487.984596240942</v>
      </c>
      <c r="AB59" s="82">
        <v>-20524.518125151364</v>
      </c>
      <c r="AC59" s="82">
        <v>-21687.023557259872</v>
      </c>
      <c r="AD59" s="82">
        <v>-23473.707357267198</v>
      </c>
      <c r="AE59" s="82">
        <v>-24396.162080008417</v>
      </c>
      <c r="AF59" s="82">
        <v>-25516.536010033447</v>
      </c>
      <c r="AG59" s="82">
        <v>-26632.329296080912</v>
      </c>
      <c r="AH59" s="82">
        <v>-27421.552877503706</v>
      </c>
      <c r="AI59" s="82">
        <v>-28140.530441805477</v>
      </c>
      <c r="AJ59" s="82">
        <v>-29405.465564804104</v>
      </c>
      <c r="AK59" s="82">
        <v>-29980.506765692862</v>
      </c>
      <c r="AL59" s="82">
        <v>-30685.444637405562</v>
      </c>
    </row>
    <row r="60" spans="2:38">
      <c r="B60" s="24" t="s">
        <v>353</v>
      </c>
      <c r="C60" s="83">
        <v>-184294.08000531813</v>
      </c>
      <c r="D60" s="82">
        <v>0</v>
      </c>
      <c r="E60" s="82">
        <v>0</v>
      </c>
      <c r="F60" s="82">
        <v>-499.36787950774055</v>
      </c>
      <c r="G60" s="82">
        <v>-620.77930175970903</v>
      </c>
      <c r="H60" s="82">
        <v>-835.43468152140463</v>
      </c>
      <c r="I60" s="82">
        <v>-1329.3961718192543</v>
      </c>
      <c r="J60" s="82">
        <v>-1687.1026139614021</v>
      </c>
      <c r="K60" s="82">
        <v>-1930.147430726885</v>
      </c>
      <c r="L60" s="82">
        <v>-2275.6911828300081</v>
      </c>
      <c r="M60" s="82">
        <v>-2564.4693114142515</v>
      </c>
      <c r="N60" s="82">
        <v>-3048.8426410291336</v>
      </c>
      <c r="O60" s="82">
        <v>-3260.8996518589734</v>
      </c>
      <c r="P60" s="82">
        <v>-3517.5067360902694</v>
      </c>
      <c r="Q60" s="82">
        <v>-3670.2335710069547</v>
      </c>
      <c r="R60" s="82">
        <v>-3790.7320580885439</v>
      </c>
      <c r="S60" s="82">
        <v>-4104.108184441091</v>
      </c>
      <c r="T60" s="82">
        <v>-4561.514027808611</v>
      </c>
      <c r="U60" s="82">
        <v>-4916.4138403251327</v>
      </c>
      <c r="V60" s="82">
        <v>-5592.2400539106184</v>
      </c>
      <c r="W60" s="82">
        <v>-5990.2693449428371</v>
      </c>
      <c r="X60" s="82">
        <v>-6189.8211423372595</v>
      </c>
      <c r="Y60" s="82">
        <v>-6476.1136748818271</v>
      </c>
      <c r="Z60" s="82">
        <v>-6786.3624337248602</v>
      </c>
      <c r="AA60" s="82">
        <v>-7015.6744546467389</v>
      </c>
      <c r="AB60" s="82">
        <v>-7388.826525054491</v>
      </c>
      <c r="AC60" s="82">
        <v>-7807.3284806135534</v>
      </c>
      <c r="AD60" s="82">
        <v>-8450.5346486161907</v>
      </c>
      <c r="AE60" s="82">
        <v>-8782.6183488030292</v>
      </c>
      <c r="AF60" s="82">
        <v>-9185.9529636120405</v>
      </c>
      <c r="AG60" s="82">
        <v>-9587.6385465891271</v>
      </c>
      <c r="AH60" s="82">
        <v>-9871.7590359013338</v>
      </c>
      <c r="AI60" s="82">
        <v>-10130.59095904997</v>
      </c>
      <c r="AJ60" s="82">
        <v>-10585.967603329476</v>
      </c>
      <c r="AK60" s="82">
        <v>-10792.98243564943</v>
      </c>
      <c r="AL60" s="82">
        <v>-11046.760069466001</v>
      </c>
    </row>
    <row r="62" spans="2:38" ht="24.95" customHeight="1">
      <c r="B62" s="166" t="s">
        <v>381</v>
      </c>
      <c r="C62" s="41">
        <f>C28-C45</f>
        <v>0</v>
      </c>
      <c r="D62" s="41">
        <f>D28-D45</f>
        <v>0</v>
      </c>
      <c r="E62" s="41">
        <f t="shared" ref="E62:AL69" si="20">E28-E45</f>
        <v>0</v>
      </c>
      <c r="F62" s="41">
        <f t="shared" si="20"/>
        <v>0</v>
      </c>
      <c r="G62" s="41">
        <f t="shared" si="20"/>
        <v>0</v>
      </c>
      <c r="H62" s="41">
        <f t="shared" si="20"/>
        <v>0</v>
      </c>
      <c r="I62" s="41">
        <f t="shared" si="20"/>
        <v>0</v>
      </c>
      <c r="J62" s="41">
        <f t="shared" si="20"/>
        <v>0</v>
      </c>
      <c r="K62" s="41">
        <f t="shared" si="20"/>
        <v>0</v>
      </c>
      <c r="L62" s="41">
        <f t="shared" si="20"/>
        <v>0</v>
      </c>
      <c r="M62" s="41">
        <f t="shared" si="20"/>
        <v>0</v>
      </c>
      <c r="N62" s="41">
        <f t="shared" si="20"/>
        <v>0</v>
      </c>
      <c r="O62" s="41">
        <f t="shared" si="20"/>
        <v>0</v>
      </c>
      <c r="P62" s="41">
        <f t="shared" si="20"/>
        <v>0</v>
      </c>
      <c r="Q62" s="41">
        <f t="shared" si="20"/>
        <v>0</v>
      </c>
      <c r="R62" s="41">
        <f t="shared" si="20"/>
        <v>0</v>
      </c>
      <c r="S62" s="41">
        <f t="shared" si="20"/>
        <v>0</v>
      </c>
      <c r="T62" s="41">
        <f t="shared" si="20"/>
        <v>0</v>
      </c>
      <c r="U62" s="41">
        <f t="shared" si="20"/>
        <v>0</v>
      </c>
      <c r="V62" s="41">
        <f t="shared" si="20"/>
        <v>0</v>
      </c>
      <c r="W62" s="41">
        <f t="shared" si="20"/>
        <v>0</v>
      </c>
      <c r="X62" s="41">
        <f t="shared" si="20"/>
        <v>0</v>
      </c>
      <c r="Y62" s="41">
        <f t="shared" si="20"/>
        <v>0</v>
      </c>
      <c r="Z62" s="41">
        <f t="shared" si="20"/>
        <v>0</v>
      </c>
      <c r="AA62" s="41">
        <f t="shared" si="20"/>
        <v>0</v>
      </c>
      <c r="AB62" s="41">
        <f t="shared" si="20"/>
        <v>0</v>
      </c>
      <c r="AC62" s="41">
        <f t="shared" si="20"/>
        <v>0</v>
      </c>
      <c r="AD62" s="41">
        <f t="shared" si="20"/>
        <v>0</v>
      </c>
      <c r="AE62" s="41">
        <f t="shared" si="20"/>
        <v>0</v>
      </c>
      <c r="AF62" s="41">
        <f t="shared" si="20"/>
        <v>0</v>
      </c>
      <c r="AG62" s="41">
        <f t="shared" si="20"/>
        <v>0</v>
      </c>
      <c r="AH62" s="41">
        <f t="shared" si="20"/>
        <v>0</v>
      </c>
      <c r="AI62" s="41">
        <f t="shared" si="20"/>
        <v>0</v>
      </c>
      <c r="AJ62" s="41">
        <f t="shared" si="20"/>
        <v>0</v>
      </c>
      <c r="AK62" s="41">
        <f t="shared" si="20"/>
        <v>0</v>
      </c>
      <c r="AL62" s="41">
        <f t="shared" si="20"/>
        <v>0</v>
      </c>
    </row>
    <row r="63" spans="2:38">
      <c r="B63" s="24" t="s">
        <v>314</v>
      </c>
      <c r="C63" s="83"/>
      <c r="D63" s="82">
        <f t="shared" ref="D63:S63" si="21">D29-D46</f>
        <v>-7560.2073473275377</v>
      </c>
      <c r="E63" s="82">
        <f t="shared" si="21"/>
        <v>-22422.934186214581</v>
      </c>
      <c r="F63" s="82">
        <f t="shared" si="21"/>
        <v>-5461.1510730701593</v>
      </c>
      <c r="G63" s="82">
        <f t="shared" si="21"/>
        <v>1390.5788546994299</v>
      </c>
      <c r="H63" s="82">
        <f t="shared" si="21"/>
        <v>4973.8076779553357</v>
      </c>
      <c r="I63" s="82">
        <f t="shared" si="21"/>
        <v>4503.1992944729391</v>
      </c>
      <c r="J63" s="82">
        <f t="shared" si="21"/>
        <v>2275.5528627119274</v>
      </c>
      <c r="K63" s="82">
        <f t="shared" si="21"/>
        <v>2319.0308021924902</v>
      </c>
      <c r="L63" s="82">
        <f t="shared" si="21"/>
        <v>2611.3056411907746</v>
      </c>
      <c r="M63" s="82">
        <f t="shared" si="21"/>
        <v>3261.5439685392994</v>
      </c>
      <c r="N63" s="82">
        <f t="shared" si="21"/>
        <v>3815.1753020277974</v>
      </c>
      <c r="O63" s="82">
        <f t="shared" si="21"/>
        <v>4147.6973750625548</v>
      </c>
      <c r="P63" s="82">
        <f t="shared" si="21"/>
        <v>4154.558212402866</v>
      </c>
      <c r="Q63" s="82">
        <f t="shared" si="21"/>
        <v>4198.9166902286306</v>
      </c>
      <c r="R63" s="82">
        <f t="shared" si="21"/>
        <v>886.87271075580065</v>
      </c>
      <c r="S63" s="82">
        <f t="shared" si="21"/>
        <v>-15.774312148008903</v>
      </c>
      <c r="T63" s="82">
        <f t="shared" si="20"/>
        <v>-356.36508470103581</v>
      </c>
      <c r="U63" s="82">
        <f t="shared" si="20"/>
        <v>-970.91505346129998</v>
      </c>
      <c r="V63" s="82">
        <f t="shared" si="20"/>
        <v>-1034.8377182204349</v>
      </c>
      <c r="W63" s="82">
        <f t="shared" si="20"/>
        <v>-1012.1641110788332</v>
      </c>
      <c r="X63" s="82">
        <f t="shared" si="20"/>
        <v>-762.6140283801069</v>
      </c>
      <c r="Y63" s="82">
        <f t="shared" si="20"/>
        <v>-423.68852050021815</v>
      </c>
      <c r="Z63" s="82">
        <f t="shared" si="20"/>
        <v>-234.05133386683883</v>
      </c>
      <c r="AA63" s="82">
        <f t="shared" si="20"/>
        <v>-346.96919127120054</v>
      </c>
      <c r="AB63" s="82">
        <f t="shared" si="20"/>
        <v>-459.85449806135148</v>
      </c>
      <c r="AC63" s="82">
        <f t="shared" si="20"/>
        <v>-594.96520991949365</v>
      </c>
      <c r="AD63" s="82">
        <f t="shared" si="20"/>
        <v>-761.65620539159863</v>
      </c>
      <c r="AE63" s="82">
        <f t="shared" si="20"/>
        <v>-779.05336254891881</v>
      </c>
      <c r="AF63" s="82">
        <f t="shared" si="20"/>
        <v>-647.20634781464469</v>
      </c>
      <c r="AG63" s="82">
        <f t="shared" si="20"/>
        <v>-515.5435819557315</v>
      </c>
      <c r="AH63" s="82">
        <f t="shared" si="20"/>
        <v>-4686.2041022603953</v>
      </c>
      <c r="AI63" s="82">
        <f t="shared" si="20"/>
        <v>-4647.6668377771421</v>
      </c>
      <c r="AJ63" s="82">
        <f t="shared" si="20"/>
        <v>-4603.1764809292945</v>
      </c>
      <c r="AK63" s="82">
        <f t="shared" si="20"/>
        <v>-4584.3193988453422</v>
      </c>
      <c r="AL63" s="82">
        <f t="shared" si="20"/>
        <v>-11012.384772071993</v>
      </c>
    </row>
    <row r="64" spans="2:38">
      <c r="B64" s="24" t="s">
        <v>315</v>
      </c>
      <c r="C64" s="83"/>
      <c r="D64" s="82">
        <f t="shared" ref="D64:D77" si="22">D30-D47</f>
        <v>0</v>
      </c>
      <c r="E64" s="82">
        <f t="shared" si="20"/>
        <v>6726.8802558643747</v>
      </c>
      <c r="F64" s="82">
        <f t="shared" si="20"/>
        <v>1638.3453219210478</v>
      </c>
      <c r="G64" s="82">
        <f t="shared" si="20"/>
        <v>-417.17365640982916</v>
      </c>
      <c r="H64" s="82">
        <f t="shared" si="20"/>
        <v>-3292.2459837267975</v>
      </c>
      <c r="I64" s="82">
        <f t="shared" si="20"/>
        <v>-5782.2803610727287</v>
      </c>
      <c r="J64" s="82">
        <f t="shared" si="20"/>
        <v>-6306.3412386849186</v>
      </c>
      <c r="K64" s="82">
        <f t="shared" si="20"/>
        <v>-7129.5340097473636</v>
      </c>
      <c r="L64" s="82">
        <f t="shared" si="20"/>
        <v>-8369.0289684572599</v>
      </c>
      <c r="M64" s="82">
        <f t="shared" si="20"/>
        <v>-324.88263736426876</v>
      </c>
      <c r="N64" s="82">
        <f t="shared" si="20"/>
        <v>0</v>
      </c>
      <c r="O64" s="82">
        <f t="shared" si="20"/>
        <v>0</v>
      </c>
      <c r="P64" s="82">
        <f t="shared" si="20"/>
        <v>0</v>
      </c>
      <c r="Q64" s="82">
        <f t="shared" si="20"/>
        <v>0</v>
      </c>
      <c r="R64" s="82">
        <f t="shared" si="20"/>
        <v>0</v>
      </c>
      <c r="S64" s="82">
        <f t="shared" si="20"/>
        <v>0</v>
      </c>
      <c r="T64" s="82">
        <f t="shared" si="20"/>
        <v>0</v>
      </c>
      <c r="U64" s="82">
        <f t="shared" si="20"/>
        <v>0</v>
      </c>
      <c r="V64" s="82">
        <f t="shared" si="20"/>
        <v>0</v>
      </c>
      <c r="W64" s="82">
        <f t="shared" si="20"/>
        <v>0</v>
      </c>
      <c r="X64" s="82">
        <f t="shared" si="20"/>
        <v>0</v>
      </c>
      <c r="Y64" s="82">
        <f t="shared" si="20"/>
        <v>0</v>
      </c>
      <c r="Z64" s="82">
        <f t="shared" si="20"/>
        <v>0</v>
      </c>
      <c r="AA64" s="82">
        <f t="shared" si="20"/>
        <v>0</v>
      </c>
      <c r="AB64" s="82">
        <f t="shared" si="20"/>
        <v>0</v>
      </c>
      <c r="AC64" s="82">
        <f t="shared" si="20"/>
        <v>0</v>
      </c>
      <c r="AD64" s="82">
        <f t="shared" si="20"/>
        <v>0</v>
      </c>
      <c r="AE64" s="82">
        <f t="shared" si="20"/>
        <v>0</v>
      </c>
      <c r="AF64" s="82">
        <f t="shared" si="20"/>
        <v>0</v>
      </c>
      <c r="AG64" s="82">
        <f t="shared" si="20"/>
        <v>0</v>
      </c>
      <c r="AH64" s="82">
        <f t="shared" si="20"/>
        <v>0</v>
      </c>
      <c r="AI64" s="82">
        <f t="shared" si="20"/>
        <v>0</v>
      </c>
      <c r="AJ64" s="82">
        <f t="shared" si="20"/>
        <v>0</v>
      </c>
      <c r="AK64" s="82">
        <f t="shared" si="20"/>
        <v>0</v>
      </c>
      <c r="AL64" s="82">
        <f t="shared" si="20"/>
        <v>0</v>
      </c>
    </row>
    <row r="65" spans="2:38">
      <c r="B65" s="24" t="s">
        <v>316</v>
      </c>
      <c r="C65" s="83"/>
      <c r="D65" s="82">
        <f t="shared" si="22"/>
        <v>-7560.2073473275377</v>
      </c>
      <c r="E65" s="82">
        <f t="shared" si="20"/>
        <v>-15696.053930350208</v>
      </c>
      <c r="F65" s="82">
        <f t="shared" si="20"/>
        <v>-3822.8057511491111</v>
      </c>
      <c r="G65" s="82">
        <f t="shared" si="20"/>
        <v>973.40519828960169</v>
      </c>
      <c r="H65" s="82">
        <f t="shared" si="20"/>
        <v>1681.5616942285378</v>
      </c>
      <c r="I65" s="82">
        <f t="shared" si="20"/>
        <v>-1279.0810665997888</v>
      </c>
      <c r="J65" s="82">
        <f t="shared" si="20"/>
        <v>-4030.7883759729921</v>
      </c>
      <c r="K65" s="82">
        <f t="shared" si="20"/>
        <v>-4810.5032075548734</v>
      </c>
      <c r="L65" s="82">
        <f t="shared" si="20"/>
        <v>-5757.7233272664853</v>
      </c>
      <c r="M65" s="82">
        <f t="shared" si="20"/>
        <v>2936.6613311750298</v>
      </c>
      <c r="N65" s="82">
        <f t="shared" si="20"/>
        <v>3815.1753020277974</v>
      </c>
      <c r="O65" s="82">
        <f t="shared" si="20"/>
        <v>4147.6973750625548</v>
      </c>
      <c r="P65" s="82">
        <f t="shared" si="20"/>
        <v>4154.558212402866</v>
      </c>
      <c r="Q65" s="82">
        <f t="shared" si="20"/>
        <v>4198.9166902286306</v>
      </c>
      <c r="R65" s="82">
        <f t="shared" si="20"/>
        <v>886.87271075580065</v>
      </c>
      <c r="S65" s="82">
        <f t="shared" si="20"/>
        <v>-15.774312148008903</v>
      </c>
      <c r="T65" s="82">
        <f t="shared" si="20"/>
        <v>-356.36508470103581</v>
      </c>
      <c r="U65" s="82">
        <f t="shared" si="20"/>
        <v>-970.91505346129998</v>
      </c>
      <c r="V65" s="82">
        <f t="shared" si="20"/>
        <v>-1034.8377182204349</v>
      </c>
      <c r="W65" s="82">
        <f t="shared" si="20"/>
        <v>-1012.1641110788332</v>
      </c>
      <c r="X65" s="82">
        <f t="shared" si="20"/>
        <v>-762.6140283801069</v>
      </c>
      <c r="Y65" s="82">
        <f t="shared" si="20"/>
        <v>-423.68852050021815</v>
      </c>
      <c r="Z65" s="82">
        <f t="shared" si="20"/>
        <v>-234.05133386683883</v>
      </c>
      <c r="AA65" s="82">
        <f t="shared" si="20"/>
        <v>-346.96919127120054</v>
      </c>
      <c r="AB65" s="82">
        <f t="shared" si="20"/>
        <v>-459.85449806135148</v>
      </c>
      <c r="AC65" s="82">
        <f t="shared" si="20"/>
        <v>-594.96520991949365</v>
      </c>
      <c r="AD65" s="82">
        <f t="shared" si="20"/>
        <v>-761.65620539159863</v>
      </c>
      <c r="AE65" s="82">
        <f t="shared" si="20"/>
        <v>-779.05336254891881</v>
      </c>
      <c r="AF65" s="82">
        <f t="shared" si="20"/>
        <v>-647.20634781464469</v>
      </c>
      <c r="AG65" s="82">
        <f t="shared" si="20"/>
        <v>-515.5435819557315</v>
      </c>
      <c r="AH65" s="82">
        <f t="shared" si="20"/>
        <v>-4686.2041022603953</v>
      </c>
      <c r="AI65" s="82">
        <f t="shared" si="20"/>
        <v>-4647.6668377771421</v>
      </c>
      <c r="AJ65" s="82">
        <f t="shared" si="20"/>
        <v>-4603.1764809292945</v>
      </c>
      <c r="AK65" s="82">
        <f t="shared" si="20"/>
        <v>-4584.3193988453422</v>
      </c>
      <c r="AL65" s="82">
        <f t="shared" si="20"/>
        <v>-11012.384772071993</v>
      </c>
    </row>
    <row r="66" spans="2:38">
      <c r="D66" s="69">
        <f t="shared" si="22"/>
        <v>0</v>
      </c>
      <c r="E66" s="69">
        <f t="shared" si="20"/>
        <v>0</v>
      </c>
      <c r="F66" s="69">
        <f t="shared" si="20"/>
        <v>0</v>
      </c>
      <c r="G66" s="69">
        <f t="shared" si="20"/>
        <v>0</v>
      </c>
      <c r="H66" s="69">
        <f t="shared" si="20"/>
        <v>0</v>
      </c>
      <c r="I66" s="69">
        <f t="shared" si="20"/>
        <v>0</v>
      </c>
      <c r="J66" s="69">
        <f t="shared" si="20"/>
        <v>0</v>
      </c>
      <c r="K66" s="69">
        <f t="shared" si="20"/>
        <v>0</v>
      </c>
      <c r="L66" s="69">
        <f t="shared" si="20"/>
        <v>0</v>
      </c>
      <c r="M66" s="69">
        <f t="shared" si="20"/>
        <v>0</v>
      </c>
      <c r="N66" s="69">
        <f t="shared" si="20"/>
        <v>0</v>
      </c>
      <c r="O66" s="69">
        <f t="shared" si="20"/>
        <v>0</v>
      </c>
      <c r="P66" s="69">
        <f t="shared" si="20"/>
        <v>0</v>
      </c>
      <c r="Q66" s="69">
        <f t="shared" si="20"/>
        <v>0</v>
      </c>
      <c r="R66" s="69">
        <f t="shared" si="20"/>
        <v>0</v>
      </c>
      <c r="S66" s="69">
        <f t="shared" si="20"/>
        <v>0</v>
      </c>
      <c r="T66" s="69">
        <f t="shared" si="20"/>
        <v>0</v>
      </c>
      <c r="U66" s="69">
        <f t="shared" si="20"/>
        <v>0</v>
      </c>
      <c r="V66" s="69">
        <f t="shared" si="20"/>
        <v>0</v>
      </c>
      <c r="W66" s="69">
        <f t="shared" si="20"/>
        <v>0</v>
      </c>
      <c r="X66" s="69">
        <f t="shared" si="20"/>
        <v>0</v>
      </c>
      <c r="Y66" s="69">
        <f t="shared" si="20"/>
        <v>0</v>
      </c>
      <c r="Z66" s="69">
        <f t="shared" si="20"/>
        <v>0</v>
      </c>
      <c r="AA66" s="69">
        <f t="shared" si="20"/>
        <v>0</v>
      </c>
      <c r="AB66" s="69">
        <f t="shared" si="20"/>
        <v>0</v>
      </c>
      <c r="AC66" s="69">
        <f t="shared" si="20"/>
        <v>0</v>
      </c>
      <c r="AD66" s="69">
        <f t="shared" si="20"/>
        <v>0</v>
      </c>
      <c r="AE66" s="69">
        <f t="shared" si="20"/>
        <v>0</v>
      </c>
      <c r="AF66" s="69">
        <f t="shared" si="20"/>
        <v>0</v>
      </c>
      <c r="AG66" s="69">
        <f t="shared" si="20"/>
        <v>0</v>
      </c>
      <c r="AH66" s="69">
        <f t="shared" si="20"/>
        <v>0</v>
      </c>
      <c r="AI66" s="69">
        <f t="shared" si="20"/>
        <v>0</v>
      </c>
      <c r="AJ66" s="69">
        <f t="shared" si="20"/>
        <v>0</v>
      </c>
      <c r="AK66" s="69">
        <f t="shared" si="20"/>
        <v>0</v>
      </c>
      <c r="AL66" s="69">
        <f t="shared" si="20"/>
        <v>0</v>
      </c>
    </row>
    <row r="67" spans="2:38">
      <c r="B67" s="24" t="s">
        <v>309</v>
      </c>
      <c r="C67" s="83"/>
      <c r="D67" s="82">
        <f t="shared" si="22"/>
        <v>0</v>
      </c>
      <c r="E67" s="82">
        <f t="shared" si="20"/>
        <v>0</v>
      </c>
      <c r="F67" s="82">
        <f t="shared" si="20"/>
        <v>1299.7539553906979</v>
      </c>
      <c r="G67" s="82">
        <f t="shared" si="20"/>
        <v>-330.95776741846475</v>
      </c>
      <c r="H67" s="82">
        <f t="shared" si="20"/>
        <v>-571.73097603770293</v>
      </c>
      <c r="I67" s="82">
        <f t="shared" si="20"/>
        <v>434.8875626439285</v>
      </c>
      <c r="J67" s="82">
        <f t="shared" si="20"/>
        <v>1370.4680478308173</v>
      </c>
      <c r="K67" s="82">
        <f t="shared" si="20"/>
        <v>1635.5710905686574</v>
      </c>
      <c r="L67" s="82">
        <f t="shared" si="20"/>
        <v>1957.6259312706052</v>
      </c>
      <c r="M67" s="82">
        <f t="shared" si="20"/>
        <v>-998.46485259951078</v>
      </c>
      <c r="N67" s="82">
        <f t="shared" si="20"/>
        <v>-1297.1596026894513</v>
      </c>
      <c r="O67" s="82">
        <f t="shared" si="20"/>
        <v>-1410.21710752127</v>
      </c>
      <c r="P67" s="82">
        <f t="shared" si="20"/>
        <v>-1412.5497922169743</v>
      </c>
      <c r="Q67" s="82">
        <f t="shared" si="20"/>
        <v>-1427.6316746777338</v>
      </c>
      <c r="R67" s="82">
        <f t="shared" si="20"/>
        <v>-301.53672165697208</v>
      </c>
      <c r="S67" s="82">
        <f t="shared" si="20"/>
        <v>5.3632661303236091</v>
      </c>
      <c r="T67" s="82">
        <f t="shared" si="20"/>
        <v>121.16412879835116</v>
      </c>
      <c r="U67" s="82">
        <f t="shared" si="20"/>
        <v>330.11111817683923</v>
      </c>
      <c r="V67" s="82">
        <f t="shared" si="20"/>
        <v>351.84482419494816</v>
      </c>
      <c r="W67" s="82">
        <f t="shared" si="20"/>
        <v>344.13579776680126</v>
      </c>
      <c r="X67" s="82">
        <f t="shared" si="20"/>
        <v>259.2887696492362</v>
      </c>
      <c r="Y67" s="82">
        <f t="shared" si="20"/>
        <v>144.05409697007417</v>
      </c>
      <c r="Z67" s="82">
        <f t="shared" si="20"/>
        <v>79.577453514724766</v>
      </c>
      <c r="AA67" s="82">
        <f t="shared" si="20"/>
        <v>117.96952503220746</v>
      </c>
      <c r="AB67" s="82">
        <f t="shared" si="20"/>
        <v>156.35052934085979</v>
      </c>
      <c r="AC67" s="82">
        <f t="shared" si="20"/>
        <v>202.2881713726274</v>
      </c>
      <c r="AD67" s="82">
        <f t="shared" si="20"/>
        <v>258.9631098331447</v>
      </c>
      <c r="AE67" s="82">
        <f t="shared" si="20"/>
        <v>264.87814326663647</v>
      </c>
      <c r="AF67" s="82">
        <f t="shared" si="20"/>
        <v>220.05015825698501</v>
      </c>
      <c r="AG67" s="82">
        <f t="shared" si="20"/>
        <v>175.28481786495104</v>
      </c>
      <c r="AH67" s="82">
        <f t="shared" si="20"/>
        <v>1593.3093947685338</v>
      </c>
      <c r="AI67" s="82">
        <f t="shared" si="20"/>
        <v>1580.2067248442327</v>
      </c>
      <c r="AJ67" s="82">
        <f t="shared" si="20"/>
        <v>1565.0800035159555</v>
      </c>
      <c r="AK67" s="82">
        <f t="shared" si="20"/>
        <v>1558.6685956074143</v>
      </c>
      <c r="AL67" s="82">
        <f t="shared" si="20"/>
        <v>3744.2108225044794</v>
      </c>
    </row>
    <row r="68" spans="2:38">
      <c r="B68" s="24" t="s">
        <v>310</v>
      </c>
      <c r="C68" s="83"/>
      <c r="D68" s="82">
        <f t="shared" si="22"/>
        <v>2570.4704980913625</v>
      </c>
      <c r="E68" s="82">
        <f t="shared" si="20"/>
        <v>7623.7976233129584</v>
      </c>
      <c r="F68" s="82">
        <f t="shared" si="20"/>
        <v>557.03740945315622</v>
      </c>
      <c r="G68" s="82">
        <f t="shared" si="20"/>
        <v>-141.83904317934196</v>
      </c>
      <c r="H68" s="82">
        <f t="shared" si="20"/>
        <v>-1119.3636344671113</v>
      </c>
      <c r="I68" s="82">
        <f t="shared" si="20"/>
        <v>-1965.9753227647279</v>
      </c>
      <c r="J68" s="82">
        <f t="shared" si="20"/>
        <v>-2144.1560211528727</v>
      </c>
      <c r="K68" s="82">
        <f t="shared" si="20"/>
        <v>-2424.0415633141038</v>
      </c>
      <c r="L68" s="82">
        <f t="shared" si="20"/>
        <v>-2845.4698492754687</v>
      </c>
      <c r="M68" s="82">
        <f t="shared" si="20"/>
        <v>-110.46009670385139</v>
      </c>
      <c r="N68" s="82">
        <f t="shared" si="20"/>
        <v>0</v>
      </c>
      <c r="O68" s="82">
        <f t="shared" si="20"/>
        <v>0</v>
      </c>
      <c r="P68" s="82">
        <f t="shared" si="20"/>
        <v>0</v>
      </c>
      <c r="Q68" s="82">
        <f t="shared" si="20"/>
        <v>0</v>
      </c>
      <c r="R68" s="82">
        <f t="shared" si="20"/>
        <v>0</v>
      </c>
      <c r="S68" s="82">
        <f t="shared" si="20"/>
        <v>0</v>
      </c>
      <c r="T68" s="82">
        <f t="shared" si="20"/>
        <v>0</v>
      </c>
      <c r="U68" s="82">
        <f t="shared" si="20"/>
        <v>0</v>
      </c>
      <c r="V68" s="82">
        <f t="shared" si="20"/>
        <v>0</v>
      </c>
      <c r="W68" s="82">
        <f t="shared" si="20"/>
        <v>0</v>
      </c>
      <c r="X68" s="82">
        <f t="shared" si="20"/>
        <v>0</v>
      </c>
      <c r="Y68" s="82">
        <f t="shared" si="20"/>
        <v>0</v>
      </c>
      <c r="Z68" s="82">
        <f t="shared" si="20"/>
        <v>0</v>
      </c>
      <c r="AA68" s="82">
        <f t="shared" si="20"/>
        <v>0</v>
      </c>
      <c r="AB68" s="82">
        <f t="shared" si="20"/>
        <v>0</v>
      </c>
      <c r="AC68" s="82">
        <f t="shared" si="20"/>
        <v>0</v>
      </c>
      <c r="AD68" s="82">
        <f t="shared" si="20"/>
        <v>0</v>
      </c>
      <c r="AE68" s="82">
        <f t="shared" si="20"/>
        <v>0</v>
      </c>
      <c r="AF68" s="82">
        <f t="shared" si="20"/>
        <v>0</v>
      </c>
      <c r="AG68" s="82">
        <f t="shared" si="20"/>
        <v>0</v>
      </c>
      <c r="AH68" s="82">
        <f t="shared" si="20"/>
        <v>0</v>
      </c>
      <c r="AI68" s="82">
        <f t="shared" si="20"/>
        <v>0</v>
      </c>
      <c r="AJ68" s="82">
        <f t="shared" si="20"/>
        <v>0</v>
      </c>
      <c r="AK68" s="82">
        <f t="shared" si="20"/>
        <v>0</v>
      </c>
      <c r="AL68" s="82">
        <f t="shared" si="20"/>
        <v>0</v>
      </c>
    </row>
    <row r="69" spans="2:38">
      <c r="B69" s="24" t="s">
        <v>311</v>
      </c>
      <c r="C69" s="83"/>
      <c r="D69" s="82">
        <f t="shared" si="22"/>
        <v>1256.6300781635944</v>
      </c>
      <c r="E69" s="82">
        <f t="shared" si="20"/>
        <v>988.64959750982996</v>
      </c>
      <c r="F69" s="82">
        <f t="shared" si="20"/>
        <v>-68.038778050709851</v>
      </c>
      <c r="G69" s="82">
        <f t="shared" si="20"/>
        <v>-68.038778050709851</v>
      </c>
      <c r="H69" s="82">
        <f t="shared" si="20"/>
        <v>-68.038778050709851</v>
      </c>
      <c r="I69" s="82">
        <f t="shared" si="20"/>
        <v>-68.038778050709851</v>
      </c>
      <c r="J69" s="82">
        <f t="shared" si="20"/>
        <v>-68.038778050709851</v>
      </c>
      <c r="K69" s="82">
        <f t="shared" si="20"/>
        <v>-68.038778050709851</v>
      </c>
      <c r="L69" s="82">
        <f t="shared" si="20"/>
        <v>-68.038778050709851</v>
      </c>
      <c r="M69" s="82">
        <f t="shared" si="20"/>
        <v>-68.038778050709851</v>
      </c>
      <c r="N69" s="82">
        <f t="shared" si="20"/>
        <v>-68.038778050709851</v>
      </c>
      <c r="O69" s="82">
        <f t="shared" si="20"/>
        <v>-68.038778050709851</v>
      </c>
      <c r="P69" s="82">
        <f t="shared" si="20"/>
        <v>-68.038778050709851</v>
      </c>
      <c r="Q69" s="82">
        <f t="shared" si="20"/>
        <v>-68.038778050709851</v>
      </c>
      <c r="R69" s="82">
        <f t="shared" si="20"/>
        <v>-93.438311442075445</v>
      </c>
      <c r="S69" s="82">
        <f t="shared" si="20"/>
        <v>-66.768801381141358</v>
      </c>
      <c r="T69" s="82">
        <f t="shared" si="20"/>
        <v>-152.30074286110138</v>
      </c>
      <c r="U69" s="82">
        <f t="shared" si="20"/>
        <v>-62.017026854477272</v>
      </c>
      <c r="V69" s="82">
        <f t="shared" si="20"/>
        <v>-62.017026854477272</v>
      </c>
      <c r="W69" s="82">
        <f t="shared" si="20"/>
        <v>-62.017026854477272</v>
      </c>
      <c r="X69" s="82">
        <f t="shared" si="20"/>
        <v>-62.017026854477272</v>
      </c>
      <c r="Y69" s="82">
        <f t="shared" si="20"/>
        <v>-62.017026854477272</v>
      </c>
      <c r="Z69" s="82">
        <f t="shared" si="20"/>
        <v>-62.017026854477272</v>
      </c>
      <c r="AA69" s="82">
        <f t="shared" si="20"/>
        <v>-62.017026854477272</v>
      </c>
      <c r="AB69" s="82">
        <f t="shared" si="20"/>
        <v>-62.017026854477272</v>
      </c>
      <c r="AC69" s="82">
        <f t="shared" si="20"/>
        <v>-62.017026854477272</v>
      </c>
      <c r="AD69" s="82">
        <f t="shared" si="20"/>
        <v>-62.017026854477272</v>
      </c>
      <c r="AE69" s="82">
        <f t="shared" si="20"/>
        <v>-62.017026854477272</v>
      </c>
      <c r="AF69" s="82">
        <f t="shared" si="20"/>
        <v>-62.017026854477272</v>
      </c>
      <c r="AG69" s="82">
        <f t="shared" si="20"/>
        <v>-281.68248444210587</v>
      </c>
      <c r="AH69" s="82">
        <f t="shared" si="20"/>
        <v>-18.083935336951185</v>
      </c>
      <c r="AI69" s="82">
        <f t="shared" si="20"/>
        <v>-18.083935336951185</v>
      </c>
      <c r="AJ69" s="82">
        <f t="shared" si="20"/>
        <v>-18.083935336951185</v>
      </c>
      <c r="AK69" s="82">
        <f t="shared" ref="E69:AL77" si="23">AK35-AK52</f>
        <v>-18.083935336951185</v>
      </c>
      <c r="AL69" s="82">
        <f t="shared" si="23"/>
        <v>-18.083935336951804</v>
      </c>
    </row>
    <row r="70" spans="2:38">
      <c r="D70">
        <f t="shared" si="22"/>
        <v>0</v>
      </c>
      <c r="E70">
        <f t="shared" si="23"/>
        <v>0</v>
      </c>
      <c r="F70">
        <f t="shared" si="23"/>
        <v>0</v>
      </c>
      <c r="G70">
        <f t="shared" si="23"/>
        <v>0</v>
      </c>
      <c r="H70">
        <f t="shared" si="23"/>
        <v>0</v>
      </c>
      <c r="I70">
        <f t="shared" si="23"/>
        <v>0</v>
      </c>
      <c r="J70">
        <f t="shared" si="23"/>
        <v>0</v>
      </c>
      <c r="K70">
        <f t="shared" si="23"/>
        <v>0</v>
      </c>
      <c r="L70">
        <f t="shared" si="23"/>
        <v>0</v>
      </c>
      <c r="M70">
        <f t="shared" si="23"/>
        <v>0</v>
      </c>
      <c r="N70">
        <f t="shared" si="23"/>
        <v>0</v>
      </c>
      <c r="O70">
        <f t="shared" si="23"/>
        <v>0</v>
      </c>
      <c r="P70">
        <f t="shared" si="23"/>
        <v>0</v>
      </c>
      <c r="Q70">
        <f t="shared" si="23"/>
        <v>0</v>
      </c>
      <c r="R70">
        <f t="shared" si="23"/>
        <v>0</v>
      </c>
      <c r="S70">
        <f t="shared" si="23"/>
        <v>0</v>
      </c>
      <c r="T70">
        <f t="shared" si="23"/>
        <v>0</v>
      </c>
      <c r="U70">
        <f t="shared" si="23"/>
        <v>0</v>
      </c>
      <c r="V70">
        <f t="shared" si="23"/>
        <v>0</v>
      </c>
      <c r="W70">
        <f t="shared" si="23"/>
        <v>0</v>
      </c>
      <c r="X70">
        <f t="shared" si="23"/>
        <v>0</v>
      </c>
      <c r="Y70">
        <f t="shared" si="23"/>
        <v>0</v>
      </c>
      <c r="Z70">
        <f t="shared" si="23"/>
        <v>0</v>
      </c>
      <c r="AA70">
        <f t="shared" si="23"/>
        <v>0</v>
      </c>
      <c r="AB70">
        <f t="shared" si="23"/>
        <v>0</v>
      </c>
      <c r="AC70">
        <f t="shared" si="23"/>
        <v>0</v>
      </c>
      <c r="AD70">
        <f t="shared" si="23"/>
        <v>0</v>
      </c>
      <c r="AE70">
        <f t="shared" si="23"/>
        <v>0</v>
      </c>
      <c r="AF70">
        <f t="shared" si="23"/>
        <v>0</v>
      </c>
      <c r="AG70">
        <f t="shared" si="23"/>
        <v>0</v>
      </c>
      <c r="AH70">
        <f t="shared" si="23"/>
        <v>0</v>
      </c>
      <c r="AI70">
        <f t="shared" si="23"/>
        <v>0</v>
      </c>
      <c r="AJ70">
        <f t="shared" si="23"/>
        <v>0</v>
      </c>
      <c r="AK70">
        <f t="shared" si="23"/>
        <v>0</v>
      </c>
      <c r="AL70">
        <f t="shared" si="23"/>
        <v>0</v>
      </c>
    </row>
    <row r="71" spans="2:38">
      <c r="B71" s="24" t="s">
        <v>310</v>
      </c>
      <c r="C71" s="83"/>
      <c r="D71" s="82">
        <f t="shared" si="22"/>
        <v>0</v>
      </c>
      <c r="E71" s="82">
        <f t="shared" si="23"/>
        <v>2570.4704980913625</v>
      </c>
      <c r="F71" s="82">
        <f t="shared" si="23"/>
        <v>10194.268121404322</v>
      </c>
      <c r="G71" s="82">
        <f t="shared" si="23"/>
        <v>10751.305530857479</v>
      </c>
      <c r="H71" s="82">
        <f t="shared" si="23"/>
        <v>10609.466487678135</v>
      </c>
      <c r="I71" s="82">
        <f t="shared" si="23"/>
        <v>9490.1028532110249</v>
      </c>
      <c r="J71" s="82">
        <f t="shared" si="23"/>
        <v>7524.127530446297</v>
      </c>
      <c r="K71" s="82">
        <f t="shared" si="23"/>
        <v>5379.9715092934239</v>
      </c>
      <c r="L71" s="82">
        <f t="shared" si="23"/>
        <v>2955.9299459793201</v>
      </c>
      <c r="M71" s="82">
        <f t="shared" si="23"/>
        <v>110.46009670385138</v>
      </c>
      <c r="N71" s="82">
        <f t="shared" si="23"/>
        <v>0</v>
      </c>
      <c r="O71" s="82">
        <f t="shared" si="23"/>
        <v>0</v>
      </c>
      <c r="P71" s="82">
        <f t="shared" si="23"/>
        <v>0</v>
      </c>
      <c r="Q71" s="82">
        <f t="shared" si="23"/>
        <v>0</v>
      </c>
      <c r="R71" s="82">
        <f t="shared" si="23"/>
        <v>0</v>
      </c>
      <c r="S71" s="82">
        <f t="shared" si="23"/>
        <v>0</v>
      </c>
      <c r="T71" s="82">
        <f t="shared" si="23"/>
        <v>0</v>
      </c>
      <c r="U71" s="82">
        <f t="shared" si="23"/>
        <v>0</v>
      </c>
      <c r="V71" s="82">
        <f t="shared" si="23"/>
        <v>0</v>
      </c>
      <c r="W71" s="82">
        <f t="shared" si="23"/>
        <v>0</v>
      </c>
      <c r="X71" s="82">
        <f t="shared" si="23"/>
        <v>0</v>
      </c>
      <c r="Y71" s="82">
        <f t="shared" si="23"/>
        <v>0</v>
      </c>
      <c r="Z71" s="82">
        <f t="shared" si="23"/>
        <v>0</v>
      </c>
      <c r="AA71" s="82">
        <f t="shared" si="23"/>
        <v>0</v>
      </c>
      <c r="AB71" s="82">
        <f t="shared" si="23"/>
        <v>0</v>
      </c>
      <c r="AC71" s="82">
        <f t="shared" si="23"/>
        <v>0</v>
      </c>
      <c r="AD71" s="82">
        <f t="shared" si="23"/>
        <v>0</v>
      </c>
      <c r="AE71" s="82">
        <f t="shared" si="23"/>
        <v>0</v>
      </c>
      <c r="AF71" s="82">
        <f t="shared" si="23"/>
        <v>0</v>
      </c>
      <c r="AG71" s="82">
        <f t="shared" si="23"/>
        <v>0</v>
      </c>
      <c r="AH71" s="82">
        <f t="shared" si="23"/>
        <v>0</v>
      </c>
      <c r="AI71" s="82">
        <f t="shared" si="23"/>
        <v>0</v>
      </c>
      <c r="AJ71" s="82">
        <f t="shared" si="23"/>
        <v>0</v>
      </c>
      <c r="AK71" s="82">
        <f t="shared" si="23"/>
        <v>0</v>
      </c>
      <c r="AL71" s="82">
        <f t="shared" si="23"/>
        <v>0</v>
      </c>
    </row>
    <row r="72" spans="2:38">
      <c r="B72" s="24" t="s">
        <v>312</v>
      </c>
      <c r="C72" s="83"/>
      <c r="D72" s="82">
        <f t="shared" si="22"/>
        <v>2570.4704980913625</v>
      </c>
      <c r="E72" s="82">
        <f t="shared" si="23"/>
        <v>5336.6583363190712</v>
      </c>
      <c r="F72" s="82">
        <f t="shared" si="23"/>
        <v>0</v>
      </c>
      <c r="G72" s="82">
        <f t="shared" si="23"/>
        <v>0</v>
      </c>
      <c r="H72" s="82">
        <f t="shared" si="23"/>
        <v>0</v>
      </c>
      <c r="I72" s="82">
        <f t="shared" si="23"/>
        <v>0</v>
      </c>
      <c r="J72" s="82">
        <f t="shared" si="23"/>
        <v>0</v>
      </c>
      <c r="K72" s="82">
        <f t="shared" si="23"/>
        <v>0</v>
      </c>
      <c r="L72" s="82">
        <f t="shared" si="23"/>
        <v>0</v>
      </c>
      <c r="M72" s="82">
        <f t="shared" si="23"/>
        <v>0</v>
      </c>
      <c r="N72" s="82">
        <f t="shared" si="23"/>
        <v>0</v>
      </c>
      <c r="O72" s="82">
        <f t="shared" si="23"/>
        <v>0</v>
      </c>
      <c r="P72" s="82">
        <f t="shared" si="23"/>
        <v>0</v>
      </c>
      <c r="Q72" s="82">
        <f t="shared" si="23"/>
        <v>0</v>
      </c>
      <c r="R72" s="82">
        <f t="shared" si="23"/>
        <v>0</v>
      </c>
      <c r="S72" s="82">
        <f t="shared" si="23"/>
        <v>0</v>
      </c>
      <c r="T72" s="82">
        <f t="shared" si="23"/>
        <v>0</v>
      </c>
      <c r="U72" s="82">
        <f t="shared" si="23"/>
        <v>0</v>
      </c>
      <c r="V72" s="82">
        <f t="shared" si="23"/>
        <v>0</v>
      </c>
      <c r="W72" s="82">
        <f t="shared" si="23"/>
        <v>0</v>
      </c>
      <c r="X72" s="82">
        <f t="shared" si="23"/>
        <v>0</v>
      </c>
      <c r="Y72" s="82">
        <f t="shared" si="23"/>
        <v>0</v>
      </c>
      <c r="Z72" s="82">
        <f t="shared" si="23"/>
        <v>0</v>
      </c>
      <c r="AA72" s="82">
        <f t="shared" si="23"/>
        <v>0</v>
      </c>
      <c r="AB72" s="82">
        <f t="shared" si="23"/>
        <v>0</v>
      </c>
      <c r="AC72" s="82">
        <f t="shared" si="23"/>
        <v>0</v>
      </c>
      <c r="AD72" s="82">
        <f t="shared" si="23"/>
        <v>0</v>
      </c>
      <c r="AE72" s="82">
        <f t="shared" si="23"/>
        <v>0</v>
      </c>
      <c r="AF72" s="82">
        <f t="shared" si="23"/>
        <v>0</v>
      </c>
      <c r="AG72" s="82">
        <f t="shared" si="23"/>
        <v>0</v>
      </c>
      <c r="AH72" s="82">
        <f t="shared" si="23"/>
        <v>0</v>
      </c>
      <c r="AI72" s="82">
        <f t="shared" si="23"/>
        <v>0</v>
      </c>
      <c r="AJ72" s="82">
        <f t="shared" si="23"/>
        <v>0</v>
      </c>
      <c r="AK72" s="82">
        <f t="shared" si="23"/>
        <v>0</v>
      </c>
      <c r="AL72" s="82">
        <f t="shared" si="23"/>
        <v>0</v>
      </c>
    </row>
    <row r="73" spans="2:38">
      <c r="B73" s="24" t="s">
        <v>313</v>
      </c>
      <c r="C73" s="83"/>
      <c r="D73" s="82">
        <f t="shared" si="22"/>
        <v>0</v>
      </c>
      <c r="E73" s="82">
        <f t="shared" si="23"/>
        <v>2287.1392869938873</v>
      </c>
      <c r="F73" s="82">
        <f t="shared" si="23"/>
        <v>557.03740945315622</v>
      </c>
      <c r="G73" s="82">
        <f t="shared" si="23"/>
        <v>-141.83904317934196</v>
      </c>
      <c r="H73" s="82">
        <f t="shared" si="23"/>
        <v>-1119.3636344671113</v>
      </c>
      <c r="I73" s="82">
        <f t="shared" si="23"/>
        <v>-1965.9753227647279</v>
      </c>
      <c r="J73" s="82">
        <f t="shared" si="23"/>
        <v>-2144.1560211528727</v>
      </c>
      <c r="K73" s="82">
        <f t="shared" si="23"/>
        <v>-2424.0415633141038</v>
      </c>
      <c r="L73" s="82">
        <f t="shared" si="23"/>
        <v>-2845.4698492754687</v>
      </c>
      <c r="M73" s="82">
        <f t="shared" si="23"/>
        <v>-110.46009670385139</v>
      </c>
      <c r="N73" s="82">
        <f t="shared" si="23"/>
        <v>0</v>
      </c>
      <c r="O73" s="82">
        <f t="shared" si="23"/>
        <v>0</v>
      </c>
      <c r="P73" s="82">
        <f t="shared" si="23"/>
        <v>0</v>
      </c>
      <c r="Q73" s="82">
        <f t="shared" si="23"/>
        <v>0</v>
      </c>
      <c r="R73" s="82">
        <f t="shared" si="23"/>
        <v>0</v>
      </c>
      <c r="S73" s="82">
        <f t="shared" si="23"/>
        <v>0</v>
      </c>
      <c r="T73" s="82">
        <f t="shared" si="23"/>
        <v>0</v>
      </c>
      <c r="U73" s="82">
        <f t="shared" si="23"/>
        <v>0</v>
      </c>
      <c r="V73" s="82">
        <f t="shared" si="23"/>
        <v>0</v>
      </c>
      <c r="W73" s="82">
        <f t="shared" si="23"/>
        <v>0</v>
      </c>
      <c r="X73" s="82">
        <f t="shared" si="23"/>
        <v>0</v>
      </c>
      <c r="Y73" s="82">
        <f t="shared" si="23"/>
        <v>0</v>
      </c>
      <c r="Z73" s="82">
        <f t="shared" si="23"/>
        <v>0</v>
      </c>
      <c r="AA73" s="82">
        <f t="shared" si="23"/>
        <v>0</v>
      </c>
      <c r="AB73" s="82">
        <f t="shared" si="23"/>
        <v>0</v>
      </c>
      <c r="AC73" s="82">
        <f t="shared" si="23"/>
        <v>0</v>
      </c>
      <c r="AD73" s="82">
        <f t="shared" si="23"/>
        <v>0</v>
      </c>
      <c r="AE73" s="82">
        <f t="shared" si="23"/>
        <v>0</v>
      </c>
      <c r="AF73" s="82">
        <f t="shared" si="23"/>
        <v>0</v>
      </c>
      <c r="AG73" s="82">
        <f t="shared" si="23"/>
        <v>0</v>
      </c>
      <c r="AH73" s="82">
        <f t="shared" si="23"/>
        <v>0</v>
      </c>
      <c r="AI73" s="82">
        <f t="shared" si="23"/>
        <v>0</v>
      </c>
      <c r="AJ73" s="82">
        <f t="shared" si="23"/>
        <v>0</v>
      </c>
      <c r="AK73" s="82">
        <f t="shared" si="23"/>
        <v>0</v>
      </c>
      <c r="AL73" s="82">
        <f t="shared" si="23"/>
        <v>0</v>
      </c>
    </row>
    <row r="74" spans="2:38">
      <c r="B74" s="24" t="s">
        <v>304</v>
      </c>
      <c r="C74" s="83"/>
      <c r="D74" s="82">
        <f t="shared" si="22"/>
        <v>2570.4704980913625</v>
      </c>
      <c r="E74" s="82">
        <f t="shared" si="23"/>
        <v>10194.268121404322</v>
      </c>
      <c r="F74" s="82">
        <f t="shared" si="23"/>
        <v>10751.305530857479</v>
      </c>
      <c r="G74" s="82">
        <f t="shared" si="23"/>
        <v>10609.466487678135</v>
      </c>
      <c r="H74" s="82">
        <f t="shared" si="23"/>
        <v>9490.1028532110249</v>
      </c>
      <c r="I74" s="82">
        <f t="shared" si="23"/>
        <v>7524.127530446297</v>
      </c>
      <c r="J74" s="82">
        <f t="shared" si="23"/>
        <v>5379.9715092934239</v>
      </c>
      <c r="K74" s="82">
        <f t="shared" si="23"/>
        <v>2955.9299459793201</v>
      </c>
      <c r="L74" s="82">
        <f t="shared" si="23"/>
        <v>110.46009670385138</v>
      </c>
      <c r="M74" s="82">
        <f t="shared" si="23"/>
        <v>0</v>
      </c>
      <c r="N74" s="82">
        <f t="shared" si="23"/>
        <v>0</v>
      </c>
      <c r="O74" s="82">
        <f t="shared" si="23"/>
        <v>0</v>
      </c>
      <c r="P74" s="82">
        <f t="shared" si="23"/>
        <v>0</v>
      </c>
      <c r="Q74" s="82">
        <f t="shared" si="23"/>
        <v>0</v>
      </c>
      <c r="R74" s="82">
        <f t="shared" si="23"/>
        <v>0</v>
      </c>
      <c r="S74" s="82">
        <f t="shared" si="23"/>
        <v>0</v>
      </c>
      <c r="T74" s="82">
        <f t="shared" si="23"/>
        <v>0</v>
      </c>
      <c r="U74" s="82">
        <f t="shared" si="23"/>
        <v>0</v>
      </c>
      <c r="V74" s="82">
        <f t="shared" si="23"/>
        <v>0</v>
      </c>
      <c r="W74" s="82">
        <f t="shared" si="23"/>
        <v>0</v>
      </c>
      <c r="X74" s="82">
        <f t="shared" si="23"/>
        <v>0</v>
      </c>
      <c r="Y74" s="82">
        <f t="shared" si="23"/>
        <v>0</v>
      </c>
      <c r="Z74" s="82">
        <f t="shared" si="23"/>
        <v>0</v>
      </c>
      <c r="AA74" s="82">
        <f t="shared" si="23"/>
        <v>0</v>
      </c>
      <c r="AB74" s="82">
        <f t="shared" si="23"/>
        <v>0</v>
      </c>
      <c r="AC74" s="82">
        <f t="shared" si="23"/>
        <v>0</v>
      </c>
      <c r="AD74" s="82">
        <f t="shared" si="23"/>
        <v>0</v>
      </c>
      <c r="AE74" s="82">
        <f t="shared" si="23"/>
        <v>0</v>
      </c>
      <c r="AF74" s="82">
        <f t="shared" si="23"/>
        <v>0</v>
      </c>
      <c r="AG74" s="82">
        <f t="shared" si="23"/>
        <v>0</v>
      </c>
      <c r="AH74" s="82">
        <f t="shared" si="23"/>
        <v>0</v>
      </c>
      <c r="AI74" s="82">
        <f t="shared" si="23"/>
        <v>0</v>
      </c>
      <c r="AJ74" s="82">
        <f t="shared" si="23"/>
        <v>0</v>
      </c>
      <c r="AK74" s="82">
        <f t="shared" si="23"/>
        <v>0</v>
      </c>
      <c r="AL74" s="82">
        <f t="shared" si="23"/>
        <v>0</v>
      </c>
    </row>
    <row r="75" spans="2:38">
      <c r="D75" s="69">
        <f t="shared" si="22"/>
        <v>0</v>
      </c>
      <c r="E75" s="69">
        <f t="shared" si="23"/>
        <v>0</v>
      </c>
      <c r="F75" s="69">
        <f t="shared" si="23"/>
        <v>0</v>
      </c>
      <c r="G75" s="69">
        <f t="shared" si="23"/>
        <v>0</v>
      </c>
      <c r="H75" s="69">
        <f t="shared" si="23"/>
        <v>0</v>
      </c>
      <c r="I75">
        <f t="shared" si="23"/>
        <v>0</v>
      </c>
      <c r="J75">
        <f t="shared" si="23"/>
        <v>0</v>
      </c>
      <c r="K75">
        <f t="shared" si="23"/>
        <v>0</v>
      </c>
      <c r="L75">
        <f t="shared" si="23"/>
        <v>0</v>
      </c>
      <c r="M75">
        <f t="shared" si="23"/>
        <v>0</v>
      </c>
      <c r="N75">
        <f t="shared" si="23"/>
        <v>0</v>
      </c>
      <c r="O75">
        <f t="shared" si="23"/>
        <v>0</v>
      </c>
      <c r="P75">
        <f t="shared" si="23"/>
        <v>0</v>
      </c>
      <c r="Q75">
        <f t="shared" si="23"/>
        <v>0</v>
      </c>
      <c r="R75">
        <f t="shared" si="23"/>
        <v>0</v>
      </c>
      <c r="S75">
        <f t="shared" si="23"/>
        <v>0</v>
      </c>
      <c r="T75">
        <f t="shared" si="23"/>
        <v>0</v>
      </c>
      <c r="U75">
        <f t="shared" si="23"/>
        <v>0</v>
      </c>
      <c r="V75">
        <f t="shared" si="23"/>
        <v>0</v>
      </c>
      <c r="W75">
        <f t="shared" si="23"/>
        <v>0</v>
      </c>
      <c r="X75">
        <f t="shared" si="23"/>
        <v>0</v>
      </c>
      <c r="Y75">
        <f t="shared" si="23"/>
        <v>0</v>
      </c>
      <c r="Z75">
        <f t="shared" si="23"/>
        <v>0</v>
      </c>
      <c r="AA75">
        <f t="shared" si="23"/>
        <v>0</v>
      </c>
      <c r="AB75">
        <f t="shared" si="23"/>
        <v>0</v>
      </c>
      <c r="AC75">
        <f t="shared" si="23"/>
        <v>0</v>
      </c>
      <c r="AD75">
        <f t="shared" si="23"/>
        <v>0</v>
      </c>
      <c r="AE75">
        <f t="shared" si="23"/>
        <v>0</v>
      </c>
      <c r="AF75">
        <f t="shared" si="23"/>
        <v>0</v>
      </c>
      <c r="AG75">
        <f t="shared" si="23"/>
        <v>0</v>
      </c>
      <c r="AH75">
        <f t="shared" si="23"/>
        <v>0</v>
      </c>
      <c r="AI75">
        <f t="shared" si="23"/>
        <v>0</v>
      </c>
      <c r="AJ75">
        <f t="shared" si="23"/>
        <v>0</v>
      </c>
      <c r="AK75">
        <f t="shared" si="23"/>
        <v>0</v>
      </c>
      <c r="AL75">
        <f t="shared" si="23"/>
        <v>0</v>
      </c>
    </row>
    <row r="76" spans="2:38">
      <c r="B76" s="24" t="s">
        <v>352</v>
      </c>
      <c r="C76" s="83">
        <v>-511928.0000147727</v>
      </c>
      <c r="D76" s="82">
        <f t="shared" si="22"/>
        <v>0</v>
      </c>
      <c r="E76" s="82">
        <f t="shared" si="23"/>
        <v>0</v>
      </c>
      <c r="F76" s="82">
        <f t="shared" si="23"/>
        <v>955.70143778727777</v>
      </c>
      <c r="G76" s="82">
        <f t="shared" si="23"/>
        <v>-243.35129957240042</v>
      </c>
      <c r="H76" s="82">
        <f t="shared" si="23"/>
        <v>-420.39042355713445</v>
      </c>
      <c r="I76" s="82">
        <f t="shared" si="23"/>
        <v>319.77026664994764</v>
      </c>
      <c r="J76" s="82">
        <f t="shared" si="23"/>
        <v>1007.697093993248</v>
      </c>
      <c r="K76" s="82">
        <f t="shared" si="23"/>
        <v>1202.6258018887183</v>
      </c>
      <c r="L76" s="82">
        <f t="shared" si="23"/>
        <v>1439.4308318166213</v>
      </c>
      <c r="M76" s="82">
        <f t="shared" si="23"/>
        <v>-734.16533279375744</v>
      </c>
      <c r="N76" s="82">
        <f t="shared" si="23"/>
        <v>-953.79382550694936</v>
      </c>
      <c r="O76" s="82">
        <f t="shared" si="23"/>
        <v>-1036.9243437656387</v>
      </c>
      <c r="P76" s="82">
        <f t="shared" si="23"/>
        <v>-1038.6395531007165</v>
      </c>
      <c r="Q76" s="82">
        <f t="shared" si="23"/>
        <v>-1049.7291725571577</v>
      </c>
      <c r="R76" s="82">
        <f t="shared" si="23"/>
        <v>-221.71817768895016</v>
      </c>
      <c r="S76" s="82">
        <f t="shared" si="23"/>
        <v>3.9435780370022258</v>
      </c>
      <c r="T76" s="82">
        <f t="shared" si="23"/>
        <v>89.091271175257134</v>
      </c>
      <c r="U76" s="82">
        <f t="shared" si="23"/>
        <v>242.72876336532318</v>
      </c>
      <c r="V76" s="82">
        <f t="shared" si="23"/>
        <v>258.70942955510873</v>
      </c>
      <c r="W76" s="82">
        <f t="shared" si="23"/>
        <v>253.04102776970831</v>
      </c>
      <c r="X76" s="82">
        <f t="shared" si="23"/>
        <v>190.65350709502673</v>
      </c>
      <c r="Y76" s="82">
        <f t="shared" si="23"/>
        <v>105.92213012505454</v>
      </c>
      <c r="Z76" s="82">
        <f t="shared" si="23"/>
        <v>58.512833466709708</v>
      </c>
      <c r="AA76" s="82">
        <f t="shared" si="23"/>
        <v>86.742297817800136</v>
      </c>
      <c r="AB76" s="82">
        <f t="shared" si="23"/>
        <v>114.96362451533787</v>
      </c>
      <c r="AC76" s="82">
        <f t="shared" si="23"/>
        <v>148.74130247987341</v>
      </c>
      <c r="AD76" s="82">
        <f t="shared" si="23"/>
        <v>190.41405134789966</v>
      </c>
      <c r="AE76" s="82">
        <f t="shared" si="23"/>
        <v>194.76334063723334</v>
      </c>
      <c r="AF76" s="82">
        <f t="shared" si="23"/>
        <v>161.80158695366481</v>
      </c>
      <c r="AG76" s="82">
        <f t="shared" si="23"/>
        <v>128.88589548893651</v>
      </c>
      <c r="AH76" s="82">
        <f t="shared" si="23"/>
        <v>1171.5510255650988</v>
      </c>
      <c r="AI76" s="82">
        <f t="shared" si="23"/>
        <v>1161.9167094442892</v>
      </c>
      <c r="AJ76" s="82">
        <f t="shared" si="23"/>
        <v>1150.79412023232</v>
      </c>
      <c r="AK76" s="82">
        <f t="shared" si="23"/>
        <v>1146.0798497113356</v>
      </c>
      <c r="AL76" s="82">
        <f t="shared" si="23"/>
        <v>2753.0961930179983</v>
      </c>
    </row>
    <row r="77" spans="2:38">
      <c r="B77" s="24" t="s">
        <v>353</v>
      </c>
      <c r="C77" s="83">
        <v>-184294.08000531813</v>
      </c>
      <c r="D77" s="82">
        <f t="shared" si="22"/>
        <v>0</v>
      </c>
      <c r="E77" s="82">
        <f t="shared" si="23"/>
        <v>0</v>
      </c>
      <c r="F77" s="82">
        <f t="shared" si="23"/>
        <v>344.05251760341997</v>
      </c>
      <c r="G77" s="82">
        <f t="shared" si="23"/>
        <v>-87.606467846064106</v>
      </c>
      <c r="H77" s="82">
        <f t="shared" si="23"/>
        <v>-151.34055248056848</v>
      </c>
      <c r="I77" s="82">
        <f t="shared" si="23"/>
        <v>115.11729599398109</v>
      </c>
      <c r="J77" s="82">
        <f t="shared" si="23"/>
        <v>362.77095383756932</v>
      </c>
      <c r="K77" s="82">
        <f t="shared" si="23"/>
        <v>432.94528867993859</v>
      </c>
      <c r="L77" s="82">
        <f t="shared" si="23"/>
        <v>518.19509945398363</v>
      </c>
      <c r="M77" s="82">
        <f t="shared" si="23"/>
        <v>-264.29951980575288</v>
      </c>
      <c r="N77" s="82">
        <f t="shared" si="23"/>
        <v>-343.36577718250192</v>
      </c>
      <c r="O77" s="82">
        <f t="shared" si="23"/>
        <v>-373.29276375562995</v>
      </c>
      <c r="P77" s="82">
        <f t="shared" si="23"/>
        <v>-373.9102391162578</v>
      </c>
      <c r="Q77" s="82">
        <f t="shared" si="23"/>
        <v>-377.90250212057663</v>
      </c>
      <c r="R77" s="82">
        <f t="shared" si="23"/>
        <v>-79.818543968021913</v>
      </c>
      <c r="S77" s="82">
        <f t="shared" si="23"/>
        <v>1.4196880933213833</v>
      </c>
      <c r="T77" s="82">
        <f t="shared" ref="T77:AL77" si="24">T43-T60</f>
        <v>32.072857623092204</v>
      </c>
      <c r="U77" s="82">
        <f t="shared" si="24"/>
        <v>87.382354811516961</v>
      </c>
      <c r="V77" s="82">
        <f t="shared" si="24"/>
        <v>93.135394639839433</v>
      </c>
      <c r="W77" s="82">
        <f t="shared" si="24"/>
        <v>91.094769997095682</v>
      </c>
      <c r="X77" s="82">
        <f t="shared" si="24"/>
        <v>68.635262554209476</v>
      </c>
      <c r="Y77" s="82">
        <f t="shared" si="24"/>
        <v>38.131966845019633</v>
      </c>
      <c r="Z77" s="82">
        <f t="shared" si="24"/>
        <v>21.064620048015968</v>
      </c>
      <c r="AA77" s="82">
        <f t="shared" si="24"/>
        <v>31.227227214408231</v>
      </c>
      <c r="AB77" s="82">
        <f t="shared" si="24"/>
        <v>41.386904825521924</v>
      </c>
      <c r="AC77" s="82">
        <f t="shared" si="24"/>
        <v>53.546868892753992</v>
      </c>
      <c r="AD77" s="82">
        <f t="shared" si="24"/>
        <v>68.549058485243222</v>
      </c>
      <c r="AE77" s="82">
        <f t="shared" si="24"/>
        <v>70.11480262940313</v>
      </c>
      <c r="AF77" s="82">
        <f t="shared" si="24"/>
        <v>58.248571303318386</v>
      </c>
      <c r="AG77" s="82">
        <f t="shared" si="24"/>
        <v>46.398922376016344</v>
      </c>
      <c r="AH77" s="82">
        <f t="shared" si="24"/>
        <v>421.758369203435</v>
      </c>
      <c r="AI77" s="82">
        <f t="shared" si="24"/>
        <v>418.29001539994351</v>
      </c>
      <c r="AJ77" s="82">
        <f t="shared" si="24"/>
        <v>414.28588328363367</v>
      </c>
      <c r="AK77" s="82">
        <f t="shared" si="24"/>
        <v>412.58874589608058</v>
      </c>
      <c r="AL77" s="82">
        <f t="shared" si="24"/>
        <v>991.11462948647932</v>
      </c>
    </row>
  </sheetData>
  <phoneticPr fontId="33" type="noConversion"/>
  <printOptions horizontalCentered="1"/>
  <pageMargins left="0.98425196850393704" right="0.39370078740157483" top="1.1811023622047245" bottom="0.78740157480314965" header="0.78740157480314965" footer="0.78740157480314965"/>
  <pageSetup paperSize="9" scale="60" orientation="landscape" r:id="rId1"/>
  <headerFooter>
    <oddFooter>&amp;L&amp;"Arial,Negrito"Nota 1: de acordo com as novas normas contábeis vigentes no país, foram contabilizados no item 1.2 as Receitas de Constução e no item 4.5 os Custos de Construção e a Conservação Especial (essa última só a partir do ano 3).</oddFooter>
  </headerFooter>
  <colBreaks count="1" manualBreakCount="1">
    <brk id="21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Planilha14"/>
  <dimension ref="B1:AL47"/>
  <sheetViews>
    <sheetView showGridLines="0" zoomScaleNormal="100" workbookViewId="0">
      <pane xSplit="3" ySplit="3" topLeftCell="D5" activePane="bottomRight" state="frozen"/>
      <selection activeCell="F15" sqref="F15"/>
      <selection pane="topRight" activeCell="F15" sqref="F15"/>
      <selection pane="bottomLeft" activeCell="F15" sqref="F15"/>
      <selection pane="bottomRight" activeCell="D4" sqref="D4"/>
    </sheetView>
  </sheetViews>
  <sheetFormatPr defaultRowHeight="12.75"/>
  <cols>
    <col min="1" max="1" width="2.5703125" customWidth="1"/>
    <col min="2" max="2" width="50.28515625" customWidth="1"/>
    <col min="3" max="3" width="14.28515625" customWidth="1"/>
    <col min="4" max="38" width="8.7109375" customWidth="1"/>
  </cols>
  <sheetData>
    <row r="1" spans="2:38" ht="39.950000000000003" customHeight="1">
      <c r="B1" s="19" t="str">
        <f>QDA!B1:O1</f>
        <v>CONCESSIONÁRIA ROTA DO ATLÂNTICO</v>
      </c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</row>
    <row r="2" spans="2:38" ht="15">
      <c r="B2" s="5" t="s">
        <v>223</v>
      </c>
      <c r="C2" s="6"/>
      <c r="D2" s="6" t="s">
        <v>43</v>
      </c>
      <c r="G2" s="20" t="s">
        <v>230</v>
      </c>
      <c r="AG2" s="20"/>
      <c r="AL2" s="20"/>
    </row>
    <row r="3" spans="2:38" ht="30.2" customHeight="1">
      <c r="B3" s="26" t="s">
        <v>78</v>
      </c>
      <c r="C3" s="26" t="s">
        <v>4</v>
      </c>
      <c r="D3" s="26">
        <v>1</v>
      </c>
      <c r="E3" s="26">
        <v>2</v>
      </c>
      <c r="F3" s="26">
        <v>3</v>
      </c>
      <c r="G3" s="26">
        <v>4</v>
      </c>
      <c r="H3" s="26">
        <v>5</v>
      </c>
      <c r="I3" s="26">
        <v>6</v>
      </c>
      <c r="J3" s="26">
        <v>7</v>
      </c>
      <c r="K3" s="26">
        <v>8</v>
      </c>
      <c r="L3" s="26">
        <v>9</v>
      </c>
      <c r="M3" s="26">
        <v>10</v>
      </c>
      <c r="N3" s="26">
        <v>11</v>
      </c>
      <c r="O3" s="26">
        <v>12</v>
      </c>
      <c r="P3" s="26">
        <v>13</v>
      </c>
      <c r="Q3" s="26">
        <v>14</v>
      </c>
      <c r="R3" s="26">
        <v>15</v>
      </c>
      <c r="S3" s="26">
        <v>16</v>
      </c>
      <c r="T3" s="26">
        <v>17</v>
      </c>
      <c r="U3" s="26">
        <v>18</v>
      </c>
      <c r="V3" s="26">
        <v>19</v>
      </c>
      <c r="W3" s="26">
        <v>20</v>
      </c>
      <c r="X3" s="26">
        <v>21</v>
      </c>
      <c r="Y3" s="26">
        <v>22</v>
      </c>
      <c r="Z3" s="26">
        <v>23</v>
      </c>
      <c r="AA3" s="26">
        <v>24</v>
      </c>
      <c r="AB3" s="26">
        <v>25</v>
      </c>
      <c r="AC3" s="26">
        <v>26</v>
      </c>
      <c r="AD3" s="26">
        <v>27</v>
      </c>
      <c r="AE3" s="26">
        <v>28</v>
      </c>
      <c r="AF3" s="26">
        <v>29</v>
      </c>
      <c r="AG3" s="26">
        <v>30</v>
      </c>
      <c r="AH3" s="26">
        <v>31</v>
      </c>
      <c r="AI3" s="26">
        <v>32</v>
      </c>
      <c r="AJ3" s="26">
        <v>33</v>
      </c>
      <c r="AK3" s="26">
        <v>34</v>
      </c>
      <c r="AL3" s="26">
        <v>35</v>
      </c>
    </row>
    <row r="4" spans="2:38" ht="24.95" customHeight="1">
      <c r="B4" s="34" t="s">
        <v>73</v>
      </c>
      <c r="C4" s="41">
        <f t="shared" ref="C4:C28" si="0">SUM(D4:AL4)</f>
        <v>4169503.4247656143</v>
      </c>
      <c r="D4" s="41">
        <f>SUM(D5:D6)</f>
        <v>72192.175904472373</v>
      </c>
      <c r="E4" s="41">
        <f t="shared" ref="E4:AL4" si="1">SUM(E5:E6)</f>
        <v>125033.78191144578</v>
      </c>
      <c r="F4" s="41">
        <f t="shared" si="1"/>
        <v>41773.03743548692</v>
      </c>
      <c r="G4" s="41">
        <f t="shared" si="1"/>
        <v>54242.188591626764</v>
      </c>
      <c r="H4" s="41">
        <f t="shared" si="1"/>
        <v>61095.308416986627</v>
      </c>
      <c r="I4" s="41">
        <f t="shared" si="1"/>
        <v>64722.066147548714</v>
      </c>
      <c r="J4" s="41">
        <f t="shared" si="1"/>
        <v>66591.40387070096</v>
      </c>
      <c r="K4" s="41">
        <f t="shared" si="1"/>
        <v>70262.062217854953</v>
      </c>
      <c r="L4" s="41">
        <f t="shared" si="1"/>
        <v>74382.066791974721</v>
      </c>
      <c r="M4" s="41">
        <f t="shared" si="1"/>
        <v>78518.776586422639</v>
      </c>
      <c r="N4" s="41">
        <f t="shared" si="1"/>
        <v>82624.077209380383</v>
      </c>
      <c r="O4" s="41">
        <f t="shared" si="1"/>
        <v>86881.146439241478</v>
      </c>
      <c r="P4" s="41">
        <f t="shared" si="1"/>
        <v>91318.7950163114</v>
      </c>
      <c r="Q4" s="41">
        <f t="shared" si="1"/>
        <v>95844.515414449445</v>
      </c>
      <c r="R4" s="41">
        <f t="shared" si="1"/>
        <v>99135.651259978986</v>
      </c>
      <c r="S4" s="41">
        <f t="shared" si="1"/>
        <v>101178.81436332628</v>
      </c>
      <c r="T4" s="41">
        <f t="shared" si="1"/>
        <v>114174.31877963232</v>
      </c>
      <c r="U4" s="41">
        <f t="shared" si="1"/>
        <v>110473.5093547854</v>
      </c>
      <c r="V4" s="41">
        <f t="shared" si="1"/>
        <v>115232.38572736495</v>
      </c>
      <c r="W4" s="41">
        <f t="shared" si="1"/>
        <v>120136.30497800547</v>
      </c>
      <c r="X4" s="41">
        <f t="shared" si="1"/>
        <v>125250.90361858827</v>
      </c>
      <c r="Y4" s="41">
        <f t="shared" si="1"/>
        <v>130406.08927214963</v>
      </c>
      <c r="Z4" s="41">
        <f t="shared" si="1"/>
        <v>135593.54223130876</v>
      </c>
      <c r="AA4" s="41">
        <f t="shared" si="1"/>
        <v>140803.53201005305</v>
      </c>
      <c r="AB4" s="41">
        <f t="shared" si="1"/>
        <v>146025.43591836683</v>
      </c>
      <c r="AC4" s="41">
        <f t="shared" si="1"/>
        <v>151246.9716671404</v>
      </c>
      <c r="AD4" s="41">
        <f t="shared" si="1"/>
        <v>156453.87267038817</v>
      </c>
      <c r="AE4" s="41">
        <f t="shared" si="1"/>
        <v>161630.52571747208</v>
      </c>
      <c r="AF4" s="41">
        <f t="shared" si="1"/>
        <v>166758.75168885948</v>
      </c>
      <c r="AG4" s="41">
        <f t="shared" si="1"/>
        <v>193355.36832397355</v>
      </c>
      <c r="AH4" s="41">
        <f t="shared" si="1"/>
        <v>176793.43301848136</v>
      </c>
      <c r="AI4" s="41">
        <f t="shared" si="1"/>
        <v>181659.94611004196</v>
      </c>
      <c r="AJ4" s="41">
        <f t="shared" si="1"/>
        <v>186399.90751658328</v>
      </c>
      <c r="AK4" s="41">
        <f t="shared" si="1"/>
        <v>191001.10383613568</v>
      </c>
      <c r="AL4" s="41">
        <f t="shared" si="1"/>
        <v>200311.65474907545</v>
      </c>
    </row>
    <row r="5" spans="2:38" ht="19.5" customHeight="1">
      <c r="B5" s="48" t="s">
        <v>79</v>
      </c>
      <c r="C5" s="49">
        <f t="shared" si="0"/>
        <v>3933581.0998903485</v>
      </c>
      <c r="D5" s="49">
        <f t="array" ref="D5:AL5">TRANSPOSE(QDB!O6:O40)</f>
        <v>0</v>
      </c>
      <c r="E5" s="49">
        <v>0</v>
      </c>
      <c r="F5" s="49">
        <v>41773.03743548692</v>
      </c>
      <c r="G5" s="49">
        <v>54242.188591626764</v>
      </c>
      <c r="H5" s="49">
        <v>61095.308416986627</v>
      </c>
      <c r="I5" s="49">
        <v>64722.066147548714</v>
      </c>
      <c r="J5" s="49">
        <v>66591.40387070096</v>
      </c>
      <c r="K5" s="49">
        <v>70262.062217854953</v>
      </c>
      <c r="L5" s="49">
        <v>74382.066791974721</v>
      </c>
      <c r="M5" s="49">
        <v>78518.776586422639</v>
      </c>
      <c r="N5" s="49">
        <v>82624.077209380383</v>
      </c>
      <c r="O5" s="49">
        <v>86881.146439241478</v>
      </c>
      <c r="P5" s="49">
        <v>91318.7950163114</v>
      </c>
      <c r="Q5" s="49">
        <v>95844.515414449445</v>
      </c>
      <c r="R5" s="49">
        <v>96645.500927492176</v>
      </c>
      <c r="S5" s="49">
        <v>101178.81436332628</v>
      </c>
      <c r="T5" s="49">
        <v>105788.83432081273</v>
      </c>
      <c r="U5" s="49">
        <v>110473.5093547854</v>
      </c>
      <c r="V5" s="49">
        <v>115232.38572736495</v>
      </c>
      <c r="W5" s="49">
        <v>120136.30497800547</v>
      </c>
      <c r="X5" s="49">
        <v>125250.90361858827</v>
      </c>
      <c r="Y5" s="49">
        <v>130406.08927214963</v>
      </c>
      <c r="Z5" s="49">
        <v>135593.54223130876</v>
      </c>
      <c r="AA5" s="49">
        <v>140803.53201005305</v>
      </c>
      <c r="AB5" s="49">
        <v>146025.43591836683</v>
      </c>
      <c r="AC5" s="49">
        <v>151246.9716671404</v>
      </c>
      <c r="AD5" s="49">
        <v>156453.87267038817</v>
      </c>
      <c r="AE5" s="49">
        <v>161630.52571747208</v>
      </c>
      <c r="AF5" s="49">
        <v>166758.75168885948</v>
      </c>
      <c r="AG5" s="49">
        <v>171819.53914871582</v>
      </c>
      <c r="AH5" s="49">
        <v>176793.43301848136</v>
      </c>
      <c r="AI5" s="49">
        <v>181659.94611004196</v>
      </c>
      <c r="AJ5" s="49">
        <v>186399.90751658328</v>
      </c>
      <c r="AK5" s="49">
        <v>191001.10383613568</v>
      </c>
      <c r="AL5" s="49">
        <v>194026.75165629195</v>
      </c>
    </row>
    <row r="6" spans="2:38" ht="18" customHeight="1">
      <c r="B6" s="48" t="s">
        <v>368</v>
      </c>
      <c r="C6" s="49">
        <f t="shared" si="0"/>
        <v>235922.32487526577</v>
      </c>
      <c r="D6" s="49">
        <f>QDJ!D6</f>
        <v>72192.175904472373</v>
      </c>
      <c r="E6" s="49">
        <f>QDJ!E6</f>
        <v>125033.78191144578</v>
      </c>
      <c r="F6" s="49">
        <f>QDJ!F6</f>
        <v>0</v>
      </c>
      <c r="G6" s="49">
        <f>QDJ!G6</f>
        <v>0</v>
      </c>
      <c r="H6" s="49">
        <f>QDJ!H6</f>
        <v>0</v>
      </c>
      <c r="I6" s="49">
        <f>QDJ!I6</f>
        <v>0</v>
      </c>
      <c r="J6" s="49">
        <f>QDJ!J6</f>
        <v>0</v>
      </c>
      <c r="K6" s="49">
        <f>QDJ!K6</f>
        <v>0</v>
      </c>
      <c r="L6" s="49">
        <f>QDJ!L6</f>
        <v>0</v>
      </c>
      <c r="M6" s="49">
        <f>QDJ!M6</f>
        <v>0</v>
      </c>
      <c r="N6" s="49">
        <f>QDJ!N6</f>
        <v>0</v>
      </c>
      <c r="O6" s="49">
        <f>QDJ!O6</f>
        <v>0</v>
      </c>
      <c r="P6" s="49">
        <f>QDJ!P6</f>
        <v>0</v>
      </c>
      <c r="Q6" s="49">
        <f>QDJ!Q6</f>
        <v>0</v>
      </c>
      <c r="R6" s="49">
        <f>QDJ!R6</f>
        <v>2490.150332486804</v>
      </c>
      <c r="S6" s="49">
        <f>QDJ!S6</f>
        <v>0</v>
      </c>
      <c r="T6" s="49">
        <f>QDJ!T6</f>
        <v>8385.4844588195883</v>
      </c>
      <c r="U6" s="49">
        <f>QDJ!U6</f>
        <v>0</v>
      </c>
      <c r="V6" s="49">
        <f>QDJ!V6</f>
        <v>0</v>
      </c>
      <c r="W6" s="49">
        <f>QDJ!W6</f>
        <v>0</v>
      </c>
      <c r="X6" s="49">
        <f>QDJ!X6</f>
        <v>0</v>
      </c>
      <c r="Y6" s="49">
        <f>QDJ!Y6</f>
        <v>0</v>
      </c>
      <c r="Z6" s="49">
        <f>QDJ!Z6</f>
        <v>0</v>
      </c>
      <c r="AA6" s="49">
        <f>QDJ!AA6</f>
        <v>0</v>
      </c>
      <c r="AB6" s="49">
        <f>QDJ!AB6</f>
        <v>0</v>
      </c>
      <c r="AC6" s="49">
        <f>QDJ!AC6</f>
        <v>0</v>
      </c>
      <c r="AD6" s="49">
        <f>QDJ!AD6</f>
        <v>0</v>
      </c>
      <c r="AE6" s="49">
        <f>QDJ!AE6</f>
        <v>0</v>
      </c>
      <c r="AF6" s="49">
        <f>QDJ!AF6</f>
        <v>0</v>
      </c>
      <c r="AG6" s="49">
        <f>QDJ!AG6</f>
        <v>21535.829175257732</v>
      </c>
      <c r="AH6" s="49">
        <f>QDJ!AH6</f>
        <v>0</v>
      </c>
      <c r="AI6" s="49">
        <f>QDJ!AI6</f>
        <v>0</v>
      </c>
      <c r="AJ6" s="49">
        <f>QDJ!AJ6</f>
        <v>0</v>
      </c>
      <c r="AK6" s="49">
        <f>QDJ!AK6</f>
        <v>0</v>
      </c>
      <c r="AL6" s="49">
        <f>QDJ!AL6</f>
        <v>6284.9030927835047</v>
      </c>
    </row>
    <row r="7" spans="2:38" ht="24.95" customHeight="1">
      <c r="B7" s="34" t="s">
        <v>74</v>
      </c>
      <c r="C7" s="41">
        <f t="shared" si="0"/>
        <v>340254.76514051511</v>
      </c>
      <c r="D7" s="41">
        <f>SUM(D8:D10)</f>
        <v>0</v>
      </c>
      <c r="E7" s="41">
        <f t="shared" ref="E7:AG7" si="2">SUM(E8:E10)</f>
        <v>0</v>
      </c>
      <c r="F7" s="41">
        <f t="shared" si="2"/>
        <v>3613.3677381696189</v>
      </c>
      <c r="G7" s="41">
        <f t="shared" si="2"/>
        <v>4691.9493131757154</v>
      </c>
      <c r="H7" s="41">
        <f t="shared" si="2"/>
        <v>5284.7441780693434</v>
      </c>
      <c r="I7" s="41">
        <f t="shared" si="2"/>
        <v>5598.4587217629642</v>
      </c>
      <c r="J7" s="41">
        <f t="shared" si="2"/>
        <v>5760.1564348156326</v>
      </c>
      <c r="K7" s="41">
        <f t="shared" si="2"/>
        <v>6077.6683818444535</v>
      </c>
      <c r="L7" s="41">
        <f t="shared" si="2"/>
        <v>6434.0487775058127</v>
      </c>
      <c r="M7" s="41">
        <f t="shared" si="2"/>
        <v>6791.874174725559</v>
      </c>
      <c r="N7" s="41">
        <f t="shared" si="2"/>
        <v>7146.9826786114027</v>
      </c>
      <c r="O7" s="41">
        <f t="shared" si="2"/>
        <v>7515.2191669943877</v>
      </c>
      <c r="P7" s="41">
        <f t="shared" si="2"/>
        <v>7899.0757689109359</v>
      </c>
      <c r="Q7" s="41">
        <f t="shared" si="2"/>
        <v>8290.5505833498773</v>
      </c>
      <c r="R7" s="41">
        <f t="shared" si="2"/>
        <v>8359.8358302280722</v>
      </c>
      <c r="S7" s="41">
        <f t="shared" si="2"/>
        <v>8751.9674424277237</v>
      </c>
      <c r="T7" s="41">
        <f t="shared" si="2"/>
        <v>9150.7341687503031</v>
      </c>
      <c r="U7" s="41">
        <f t="shared" si="2"/>
        <v>9555.958559188939</v>
      </c>
      <c r="V7" s="41">
        <f t="shared" si="2"/>
        <v>9967.6013654170692</v>
      </c>
      <c r="W7" s="41">
        <f t="shared" si="2"/>
        <v>10391.790380597475</v>
      </c>
      <c r="X7" s="41">
        <f t="shared" si="2"/>
        <v>10834.203163007885</v>
      </c>
      <c r="Y7" s="41">
        <f t="shared" si="2"/>
        <v>11280.126722040945</v>
      </c>
      <c r="Z7" s="41">
        <f t="shared" si="2"/>
        <v>11728.841403008208</v>
      </c>
      <c r="AA7" s="41">
        <f t="shared" si="2"/>
        <v>12179.505518869588</v>
      </c>
      <c r="AB7" s="41">
        <f t="shared" si="2"/>
        <v>12631.200206938731</v>
      </c>
      <c r="AC7" s="41">
        <f t="shared" si="2"/>
        <v>13082.863049207645</v>
      </c>
      <c r="AD7" s="41">
        <f t="shared" si="2"/>
        <v>13533.259985988578</v>
      </c>
      <c r="AE7" s="41">
        <f t="shared" si="2"/>
        <v>13981.040474561334</v>
      </c>
      <c r="AF7" s="41">
        <f t="shared" si="2"/>
        <v>14424.632021086345</v>
      </c>
      <c r="AG7" s="41">
        <f t="shared" si="2"/>
        <v>14862.390136363918</v>
      </c>
      <c r="AH7" s="41">
        <f>SUM(AH8:AH10)</f>
        <v>15292.631956098638</v>
      </c>
      <c r="AI7" s="41">
        <f>SUM(AI8:AI10)</f>
        <v>15713.585338518629</v>
      </c>
      <c r="AJ7" s="41">
        <f>SUM(AJ8:AJ10)</f>
        <v>16123.592000184453</v>
      </c>
      <c r="AK7" s="41">
        <f>SUM(AK8:AK10)</f>
        <v>16521.595481825738</v>
      </c>
      <c r="AL7" s="41">
        <f>SUM(AL8:AL10)</f>
        <v>16783.314018269255</v>
      </c>
    </row>
    <row r="8" spans="2:38" ht="18" customHeight="1">
      <c r="B8" s="48" t="s">
        <v>127</v>
      </c>
      <c r="C8" s="49">
        <f t="shared" si="0"/>
        <v>196679.05499451744</v>
      </c>
      <c r="D8" s="49">
        <f>QDG!D5</f>
        <v>0</v>
      </c>
      <c r="E8" s="49">
        <f>QDG!E5</f>
        <v>0</v>
      </c>
      <c r="F8" s="49">
        <f>QDG!F5</f>
        <v>2088.6518717743461</v>
      </c>
      <c r="G8" s="49">
        <f>QDG!G5</f>
        <v>2712.1094295813382</v>
      </c>
      <c r="H8" s="49">
        <f>QDG!H5</f>
        <v>3054.7654208493313</v>
      </c>
      <c r="I8" s="49">
        <f>QDG!I5</f>
        <v>3236.1033073774361</v>
      </c>
      <c r="J8" s="49">
        <f>QDG!J5</f>
        <v>3329.570193535048</v>
      </c>
      <c r="K8" s="49">
        <f>QDG!K5</f>
        <v>3513.1031108927477</v>
      </c>
      <c r="L8" s="49">
        <f>QDG!L5</f>
        <v>3719.1033395987361</v>
      </c>
      <c r="M8" s="49">
        <f>QDG!M5</f>
        <v>3925.9388293211323</v>
      </c>
      <c r="N8" s="49">
        <f>QDG!N5</f>
        <v>4131.2038604690197</v>
      </c>
      <c r="O8" s="49">
        <f>QDG!O5</f>
        <v>4344.0573219620737</v>
      </c>
      <c r="P8" s="49">
        <f>QDG!P5</f>
        <v>4565.9397508155698</v>
      </c>
      <c r="Q8" s="49">
        <f>QDG!Q5</f>
        <v>4792.2257707224726</v>
      </c>
      <c r="R8" s="49">
        <f>QDG!R5</f>
        <v>4832.2750463746088</v>
      </c>
      <c r="S8" s="49">
        <f>QDG!S5</f>
        <v>5058.9407181663146</v>
      </c>
      <c r="T8" s="49">
        <f>QDG!T5</f>
        <v>5289.4417160406374</v>
      </c>
      <c r="U8" s="49">
        <f>QDG!U5</f>
        <v>5523.675467739271</v>
      </c>
      <c r="V8" s="49">
        <f>QDG!V5</f>
        <v>5761.6192863682481</v>
      </c>
      <c r="W8" s="49">
        <f>QDG!W5</f>
        <v>6006.8152489002741</v>
      </c>
      <c r="X8" s="49">
        <f>QDG!X5</f>
        <v>6262.5451809294136</v>
      </c>
      <c r="Y8" s="49">
        <f>QDG!Y5</f>
        <v>6520.3044636074819</v>
      </c>
      <c r="Z8" s="49">
        <f>QDG!Z5</f>
        <v>6779.6771115654383</v>
      </c>
      <c r="AA8" s="49">
        <f>QDG!AA5</f>
        <v>7040.1766005026529</v>
      </c>
      <c r="AB8" s="49">
        <f>QDG!AB5</f>
        <v>7301.2717959183419</v>
      </c>
      <c r="AC8" s="49">
        <f>QDG!AC5</f>
        <v>7562.3485833570203</v>
      </c>
      <c r="AD8" s="49">
        <f>QDG!AD5</f>
        <v>7822.6936335194086</v>
      </c>
      <c r="AE8" s="49">
        <f>QDG!AE5</f>
        <v>8081.5262858736041</v>
      </c>
      <c r="AF8" s="49">
        <f>QDG!AF5</f>
        <v>8337.9375844429742</v>
      </c>
      <c r="AG8" s="49">
        <f>QDG!AG5</f>
        <v>8590.9769574357906</v>
      </c>
      <c r="AH8" s="49">
        <f>QDG!AH5</f>
        <v>8839.6716509240687</v>
      </c>
      <c r="AI8" s="49">
        <f>QDG!AI5</f>
        <v>9082.9973055020982</v>
      </c>
      <c r="AJ8" s="49">
        <f>QDG!AJ5</f>
        <v>9319.9953758291649</v>
      </c>
      <c r="AK8" s="49">
        <f>QDG!AK5</f>
        <v>9550.0551918067849</v>
      </c>
      <c r="AL8" s="49">
        <f>QDG!AL5</f>
        <v>9701.3375828145981</v>
      </c>
    </row>
    <row r="9" spans="2:38" ht="18" customHeight="1">
      <c r="B9" s="48" t="s">
        <v>128</v>
      </c>
      <c r="C9" s="49">
        <f t="shared" si="0"/>
        <v>118007.43299671043</v>
      </c>
      <c r="D9" s="49">
        <f>QDG!D6</f>
        <v>0</v>
      </c>
      <c r="E9" s="49">
        <f>QDG!E6</f>
        <v>0</v>
      </c>
      <c r="F9" s="49">
        <f>QDG!F6</f>
        <v>1253.1911230646076</v>
      </c>
      <c r="G9" s="49">
        <f>QDG!G6</f>
        <v>1627.2656577488028</v>
      </c>
      <c r="H9" s="49">
        <f>QDG!H6</f>
        <v>1832.8592525095987</v>
      </c>
      <c r="I9" s="49">
        <f>QDG!I6</f>
        <v>1941.6619844264615</v>
      </c>
      <c r="J9" s="49">
        <f>QDG!J6</f>
        <v>1997.7421161210286</v>
      </c>
      <c r="K9" s="49">
        <f>QDG!K6</f>
        <v>2107.8618665356485</v>
      </c>
      <c r="L9" s="49">
        <f>QDG!L6</f>
        <v>2231.4620037592417</v>
      </c>
      <c r="M9" s="49">
        <f>QDG!M6</f>
        <v>2355.5632975926792</v>
      </c>
      <c r="N9" s="49">
        <f>QDG!N6</f>
        <v>2478.7223162814112</v>
      </c>
      <c r="O9" s="49">
        <f>QDG!O6</f>
        <v>2606.4343931772441</v>
      </c>
      <c r="P9" s="49">
        <f>QDG!P6</f>
        <v>2739.5638504893418</v>
      </c>
      <c r="Q9" s="49">
        <f>QDG!Q6</f>
        <v>2875.3354624334834</v>
      </c>
      <c r="R9" s="49">
        <f>QDG!R6</f>
        <v>2899.3650278247651</v>
      </c>
      <c r="S9" s="49">
        <f>QDG!S6</f>
        <v>3035.3644308997882</v>
      </c>
      <c r="T9" s="49">
        <f>QDG!T6</f>
        <v>3173.665029624382</v>
      </c>
      <c r="U9" s="49">
        <f>QDG!U6</f>
        <v>3314.2052806435622</v>
      </c>
      <c r="V9" s="49">
        <f>QDG!V6</f>
        <v>3456.9715718209482</v>
      </c>
      <c r="W9" s="49">
        <f>QDG!W6</f>
        <v>3604.0891493401641</v>
      </c>
      <c r="X9" s="49">
        <f>QDG!X6</f>
        <v>3757.5271085576478</v>
      </c>
      <c r="Y9" s="49">
        <f>QDG!Y6</f>
        <v>3912.1826781644891</v>
      </c>
      <c r="Z9" s="49">
        <f>QDG!Z6</f>
        <v>4067.8062669392625</v>
      </c>
      <c r="AA9" s="49">
        <f>QDG!AA6</f>
        <v>4224.105960301591</v>
      </c>
      <c r="AB9" s="49">
        <f>QDG!AB6</f>
        <v>4380.7630775510042</v>
      </c>
      <c r="AC9" s="49">
        <f>QDG!AC6</f>
        <v>4537.4091500142122</v>
      </c>
      <c r="AD9" s="49">
        <f>QDG!AD6</f>
        <v>4693.616180111645</v>
      </c>
      <c r="AE9" s="49">
        <f>QDG!AE6</f>
        <v>4848.9157715241618</v>
      </c>
      <c r="AF9" s="49">
        <f>QDG!AF6</f>
        <v>5002.7625506657841</v>
      </c>
      <c r="AG9" s="49">
        <f>QDG!AG6</f>
        <v>5154.586174461474</v>
      </c>
      <c r="AH9" s="49">
        <f>QDG!AH6</f>
        <v>5303.8029905544408</v>
      </c>
      <c r="AI9" s="49">
        <f>QDG!AI6</f>
        <v>5449.7983833012586</v>
      </c>
      <c r="AJ9" s="49">
        <f>QDG!AJ6</f>
        <v>5591.9972254974982</v>
      </c>
      <c r="AK9" s="49">
        <f>QDG!AK6</f>
        <v>5730.0331150840702</v>
      </c>
      <c r="AL9" s="49">
        <f>QDG!AL6</f>
        <v>5820.8025496887585</v>
      </c>
    </row>
    <row r="10" spans="2:38" ht="18" customHeight="1">
      <c r="B10" s="48" t="s">
        <v>129</v>
      </c>
      <c r="C10" s="49">
        <f t="shared" si="0"/>
        <v>25568.277149287263</v>
      </c>
      <c r="D10" s="49">
        <f>QDG!D7</f>
        <v>0</v>
      </c>
      <c r="E10" s="49">
        <f>QDG!E7</f>
        <v>0</v>
      </c>
      <c r="F10" s="49">
        <f>QDG!F7</f>
        <v>271.52474333066499</v>
      </c>
      <c r="G10" s="49">
        <f>QDG!G7</f>
        <v>352.57422584557395</v>
      </c>
      <c r="H10" s="49">
        <f>QDG!H7</f>
        <v>397.11950471041308</v>
      </c>
      <c r="I10" s="49">
        <f>QDG!I7</f>
        <v>420.69342995906663</v>
      </c>
      <c r="J10" s="49">
        <f>QDG!J7</f>
        <v>432.8441251595562</v>
      </c>
      <c r="K10" s="49">
        <f>QDG!K7</f>
        <v>456.7034044160572</v>
      </c>
      <c r="L10" s="49">
        <f>QDG!L7</f>
        <v>483.48343414783568</v>
      </c>
      <c r="M10" s="49">
        <f>QDG!M7</f>
        <v>510.37204781174711</v>
      </c>
      <c r="N10" s="49">
        <f>QDG!N7</f>
        <v>537.0565018609725</v>
      </c>
      <c r="O10" s="49">
        <f>QDG!O7</f>
        <v>564.7274518550696</v>
      </c>
      <c r="P10" s="49">
        <f>QDG!P7</f>
        <v>593.5721676060241</v>
      </c>
      <c r="Q10" s="49">
        <f>QDG!Q7</f>
        <v>622.98935019392138</v>
      </c>
      <c r="R10" s="49">
        <f>QDG!R7</f>
        <v>628.19575602869907</v>
      </c>
      <c r="S10" s="49">
        <f>QDG!S7</f>
        <v>657.66229336162075</v>
      </c>
      <c r="T10" s="49">
        <f>QDG!T7</f>
        <v>687.62742308528277</v>
      </c>
      <c r="U10" s="49">
        <f>QDG!U7</f>
        <v>718.07781080610505</v>
      </c>
      <c r="V10" s="49">
        <f>QDG!V7</f>
        <v>749.01050722787215</v>
      </c>
      <c r="W10" s="49">
        <f>QDG!W7</f>
        <v>780.88598235703557</v>
      </c>
      <c r="X10" s="49">
        <f>QDG!X7</f>
        <v>814.13087352082368</v>
      </c>
      <c r="Y10" s="49">
        <f>QDG!Y7</f>
        <v>847.63958026897262</v>
      </c>
      <c r="Z10" s="49">
        <f>QDG!Z7</f>
        <v>881.35802450350695</v>
      </c>
      <c r="AA10" s="49">
        <f>QDG!AA7</f>
        <v>915.22295806534476</v>
      </c>
      <c r="AB10" s="49">
        <f>QDG!AB7</f>
        <v>949.16533346938434</v>
      </c>
      <c r="AC10" s="49">
        <f>QDG!AC7</f>
        <v>983.10531583641261</v>
      </c>
      <c r="AD10" s="49">
        <f>QDG!AD7</f>
        <v>1016.950172357523</v>
      </c>
      <c r="AE10" s="49">
        <f>QDG!AE7</f>
        <v>1050.5984171635685</v>
      </c>
      <c r="AF10" s="49">
        <f>QDG!AF7</f>
        <v>1083.9318859775865</v>
      </c>
      <c r="AG10" s="49">
        <f>QDG!AG7</f>
        <v>1116.8270044666529</v>
      </c>
      <c r="AH10" s="49">
        <f>QDG!AH7</f>
        <v>1149.1573146201288</v>
      </c>
      <c r="AI10" s="49">
        <f>QDG!AI7</f>
        <v>1180.7896497152726</v>
      </c>
      <c r="AJ10" s="49">
        <f>QDG!AJ7</f>
        <v>1211.5993988577911</v>
      </c>
      <c r="AK10" s="49">
        <f>QDG!AK7</f>
        <v>1241.5071749348817</v>
      </c>
      <c r="AL10" s="49">
        <f>QDG!AL7</f>
        <v>1261.1738857658977</v>
      </c>
    </row>
    <row r="11" spans="2:38" ht="24.95" customHeight="1">
      <c r="B11" s="34" t="s">
        <v>75</v>
      </c>
      <c r="C11" s="41">
        <f t="shared" si="0"/>
        <v>3829248.6596250995</v>
      </c>
      <c r="D11" s="41">
        <f t="shared" ref="D11:AG11" si="3">D4-D7</f>
        <v>72192.175904472373</v>
      </c>
      <c r="E11" s="41">
        <f t="shared" si="3"/>
        <v>125033.78191144578</v>
      </c>
      <c r="F11" s="41">
        <f t="shared" si="3"/>
        <v>38159.669697317302</v>
      </c>
      <c r="G11" s="41">
        <f t="shared" si="3"/>
        <v>49550.239278451045</v>
      </c>
      <c r="H11" s="41">
        <f t="shared" si="3"/>
        <v>55810.564238917286</v>
      </c>
      <c r="I11" s="41">
        <f t="shared" si="3"/>
        <v>59123.607425785747</v>
      </c>
      <c r="J11" s="41">
        <f t="shared" si="3"/>
        <v>60831.247435885329</v>
      </c>
      <c r="K11" s="41">
        <f t="shared" si="3"/>
        <v>64184.393836010502</v>
      </c>
      <c r="L11" s="41">
        <f t="shared" si="3"/>
        <v>67948.018014468907</v>
      </c>
      <c r="M11" s="41">
        <f t="shared" si="3"/>
        <v>71726.902411697083</v>
      </c>
      <c r="N11" s="41">
        <f t="shared" si="3"/>
        <v>75477.094530768984</v>
      </c>
      <c r="O11" s="41">
        <f t="shared" si="3"/>
        <v>79365.927272247092</v>
      </c>
      <c r="P11" s="41">
        <f t="shared" si="3"/>
        <v>83419.71924740047</v>
      </c>
      <c r="Q11" s="41">
        <f t="shared" si="3"/>
        <v>87553.964831099569</v>
      </c>
      <c r="R11" s="41">
        <f t="shared" si="3"/>
        <v>90775.815429750917</v>
      </c>
      <c r="S11" s="41">
        <f t="shared" si="3"/>
        <v>92426.846920898563</v>
      </c>
      <c r="T11" s="41">
        <f t="shared" si="3"/>
        <v>105023.58461088201</v>
      </c>
      <c r="U11" s="41">
        <f t="shared" si="3"/>
        <v>100917.55079559647</v>
      </c>
      <c r="V11" s="41">
        <f t="shared" si="3"/>
        <v>105264.78436194788</v>
      </c>
      <c r="W11" s="41">
        <f t="shared" si="3"/>
        <v>109744.51459740799</v>
      </c>
      <c r="X11" s="41">
        <f t="shared" si="3"/>
        <v>114416.70045558039</v>
      </c>
      <c r="Y11" s="41">
        <f t="shared" si="3"/>
        <v>119125.96255010868</v>
      </c>
      <c r="Z11" s="41">
        <f t="shared" si="3"/>
        <v>123864.70082830056</v>
      </c>
      <c r="AA11" s="41">
        <f t="shared" si="3"/>
        <v>128624.02649118347</v>
      </c>
      <c r="AB11" s="41">
        <f t="shared" si="3"/>
        <v>133394.2357114281</v>
      </c>
      <c r="AC11" s="41">
        <f t="shared" si="3"/>
        <v>138164.10861793277</v>
      </c>
      <c r="AD11" s="41">
        <f t="shared" si="3"/>
        <v>142920.61268439959</v>
      </c>
      <c r="AE11" s="41">
        <f t="shared" si="3"/>
        <v>147649.48524291074</v>
      </c>
      <c r="AF11" s="41">
        <f t="shared" si="3"/>
        <v>152334.11966777314</v>
      </c>
      <c r="AG11" s="41">
        <f t="shared" si="3"/>
        <v>178492.97818760964</v>
      </c>
      <c r="AH11" s="41">
        <f>AH4-AH7</f>
        <v>161500.80106238273</v>
      </c>
      <c r="AI11" s="41">
        <f>AI4-AI7</f>
        <v>165946.36077152332</v>
      </c>
      <c r="AJ11" s="41">
        <f>AJ4-AJ7</f>
        <v>170276.31551639881</v>
      </c>
      <c r="AK11" s="41">
        <f>AK4-AK7</f>
        <v>174479.50835430995</v>
      </c>
      <c r="AL11" s="41">
        <f>AL4-AL7</f>
        <v>183528.3407308062</v>
      </c>
    </row>
    <row r="12" spans="2:38" ht="24.95" customHeight="1">
      <c r="B12" s="34" t="s">
        <v>84</v>
      </c>
      <c r="C12" s="41">
        <f t="shared" si="0"/>
        <v>1651752.2537809312</v>
      </c>
      <c r="D12" s="41">
        <f>SUM(D13:D21)</f>
        <v>85996.190286175886</v>
      </c>
      <c r="E12" s="41">
        <f t="shared" ref="E12:AG12" si="4">SUM(E13:E21)</f>
        <v>147953.62696179294</v>
      </c>
      <c r="F12" s="41">
        <f t="shared" si="4"/>
        <v>32094.220071734886</v>
      </c>
      <c r="G12" s="41">
        <f t="shared" si="4"/>
        <v>33990.629780842988</v>
      </c>
      <c r="H12" s="41">
        <f t="shared" si="4"/>
        <v>35179.451440430093</v>
      </c>
      <c r="I12" s="41">
        <f t="shared" si="4"/>
        <v>34658.815881148439</v>
      </c>
      <c r="J12" s="41">
        <f t="shared" si="4"/>
        <v>33941.437435571024</v>
      </c>
      <c r="K12" s="41">
        <f t="shared" si="4"/>
        <v>33872.45906851835</v>
      </c>
      <c r="L12" s="41">
        <f t="shared" si="4"/>
        <v>34543.193611883165</v>
      </c>
      <c r="M12" s="41">
        <f t="shared" si="4"/>
        <v>34437.27693553688</v>
      </c>
      <c r="N12" s="41">
        <f t="shared" si="4"/>
        <v>34629.812800487241</v>
      </c>
      <c r="O12" s="41">
        <f t="shared" si="4"/>
        <v>35151.785596073794</v>
      </c>
      <c r="P12" s="41">
        <f t="shared" si="4"/>
        <v>35669.378045458318</v>
      </c>
      <c r="Q12" s="41">
        <f t="shared" si="4"/>
        <v>37384.151455287676</v>
      </c>
      <c r="R12" s="41">
        <f t="shared" si="4"/>
        <v>41826.320581116568</v>
      </c>
      <c r="S12" s="41">
        <f t="shared" si="4"/>
        <v>40298.333007532245</v>
      </c>
      <c r="T12" s="41">
        <f t="shared" si="4"/>
        <v>48940.570015048863</v>
      </c>
      <c r="U12" s="41">
        <f t="shared" si="4"/>
        <v>41745.378386468285</v>
      </c>
      <c r="V12" s="41">
        <f t="shared" si="4"/>
        <v>41025.255430605743</v>
      </c>
      <c r="W12" s="41">
        <f t="shared" si="4"/>
        <v>40381.615517152131</v>
      </c>
      <c r="X12" s="41">
        <f t="shared" si="4"/>
        <v>41908.860235718079</v>
      </c>
      <c r="Y12" s="41">
        <f t="shared" si="4"/>
        <v>42420.019819346031</v>
      </c>
      <c r="Z12" s="41">
        <f t="shared" si="4"/>
        <v>42843.763615678901</v>
      </c>
      <c r="AA12" s="41">
        <f t="shared" si="4"/>
        <v>44489.946928753387</v>
      </c>
      <c r="AB12" s="41">
        <f t="shared" si="4"/>
        <v>46265.667567419216</v>
      </c>
      <c r="AC12" s="41">
        <f t="shared" si="4"/>
        <v>46494.712584280314</v>
      </c>
      <c r="AD12" s="41">
        <f t="shared" si="4"/>
        <v>46649.073410166697</v>
      </c>
      <c r="AE12" s="41">
        <f t="shared" si="4"/>
        <v>47027.375371233946</v>
      </c>
      <c r="AF12" s="41">
        <f t="shared" si="4"/>
        <v>46420.51819762557</v>
      </c>
      <c r="AG12" s="41">
        <f t="shared" si="4"/>
        <v>66660.317068519216</v>
      </c>
      <c r="AH12" s="41">
        <f>SUM(AH13:AH21)</f>
        <v>50779.047124578705</v>
      </c>
      <c r="AI12" s="41">
        <f>SUM(AI13:AI21)</f>
        <v>51632.010448392597</v>
      </c>
      <c r="AJ12" s="41">
        <f>SUM(AJ13:AJ21)</f>
        <v>51896.494571698466</v>
      </c>
      <c r="AK12" s="41">
        <f>SUM(AK13:AK21)</f>
        <v>53754.748650902911</v>
      </c>
      <c r="AL12" s="41">
        <f>SUM(AL13:AL21)</f>
        <v>68789.795877751778</v>
      </c>
    </row>
    <row r="13" spans="2:38" ht="18" customHeight="1">
      <c r="B13" s="48" t="s">
        <v>85</v>
      </c>
      <c r="C13" s="49">
        <f t="shared" si="0"/>
        <v>555533.45537539967</v>
      </c>
      <c r="D13" s="49">
        <f>QDD!D4</f>
        <v>7455.8457163747034</v>
      </c>
      <c r="E13" s="49">
        <f>QDD!E4</f>
        <v>9922.863516580006</v>
      </c>
      <c r="F13" s="49">
        <f>QDD!F4</f>
        <v>12321.595480450731</v>
      </c>
      <c r="G13" s="49">
        <f>QDD!G4</f>
        <v>12682.523364228677</v>
      </c>
      <c r="H13" s="49">
        <f>QDD!H4</f>
        <v>12761.712849421538</v>
      </c>
      <c r="I13" s="49">
        <f>QDD!I4</f>
        <v>12875.347534140599</v>
      </c>
      <c r="J13" s="49">
        <f>QDD!J4</f>
        <v>12979.233453086083</v>
      </c>
      <c r="K13" s="49">
        <f>QDD!K4</f>
        <v>13082.453213821447</v>
      </c>
      <c r="L13" s="49">
        <f>QDD!L4</f>
        <v>13400.647708165157</v>
      </c>
      <c r="M13" s="49">
        <f>QDD!M4</f>
        <v>13506.805895015372</v>
      </c>
      <c r="N13" s="49">
        <f>QDD!N4</f>
        <v>13683.354426034399</v>
      </c>
      <c r="O13" s="49">
        <f>QDD!O4</f>
        <v>13859.607490079939</v>
      </c>
      <c r="P13" s="49">
        <f>QDD!P4</f>
        <v>14034.809669827671</v>
      </c>
      <c r="Q13" s="49">
        <f>QDD!Q4</f>
        <v>14208.340441234743</v>
      </c>
      <c r="R13" s="49">
        <f>QDD!R4</f>
        <v>14811.531761109753</v>
      </c>
      <c r="S13" s="49">
        <f>QDD!S4</f>
        <v>15504.440541601485</v>
      </c>
      <c r="T13" s="49">
        <f>QDD!T4</f>
        <v>15681.048116952637</v>
      </c>
      <c r="U13" s="49">
        <f>QDD!U4</f>
        <v>15854.650121104696</v>
      </c>
      <c r="V13" s="49">
        <f>QDD!V4</f>
        <v>16025.393135193557</v>
      </c>
      <c r="W13" s="49">
        <f>QDD!W4</f>
        <v>16195.890416402099</v>
      </c>
      <c r="X13" s="49">
        <f>QDD!X4</f>
        <v>17486.588340631086</v>
      </c>
      <c r="Y13" s="49">
        <f>QDD!Y4</f>
        <v>17724.098651725501</v>
      </c>
      <c r="Z13" s="49">
        <f>QDD!Z4</f>
        <v>17956.765442127107</v>
      </c>
      <c r="AA13" s="49">
        <f>QDD!AA4</f>
        <v>18184.45332274575</v>
      </c>
      <c r="AB13" s="49">
        <f>QDD!AB4</f>
        <v>18407.004305323651</v>
      </c>
      <c r="AC13" s="49">
        <f>QDD!AC4</f>
        <v>18624.207794792401</v>
      </c>
      <c r="AD13" s="49">
        <f>QDD!AD4</f>
        <v>18835.79255388027</v>
      </c>
      <c r="AE13" s="49">
        <f>QDD!AE4</f>
        <v>19041.457643620968</v>
      </c>
      <c r="AF13" s="49">
        <f>QDD!AF4</f>
        <v>19240.826766946637</v>
      </c>
      <c r="AG13" s="49">
        <f>QDD!AG4</f>
        <v>19433.520296761293</v>
      </c>
      <c r="AH13" s="49">
        <f>QDD!AH4</f>
        <v>19619.167915325561</v>
      </c>
      <c r="AI13" s="49">
        <f>QDD!AI4</f>
        <v>19797.383750828383</v>
      </c>
      <c r="AJ13" s="49">
        <f>QDD!AJ4</f>
        <v>19967.8495920323</v>
      </c>
      <c r="AK13" s="49">
        <f>QDD!AK4</f>
        <v>20130.505674329655</v>
      </c>
      <c r="AL13" s="49">
        <f>QDD!AL4</f>
        <v>20235.738473503752</v>
      </c>
    </row>
    <row r="14" spans="2:38" ht="18" customHeight="1">
      <c r="B14" s="48" t="s">
        <v>108</v>
      </c>
      <c r="C14" s="49">
        <f t="shared" si="0"/>
        <v>175094.08766201604</v>
      </c>
      <c r="D14" s="49">
        <f>QDD!D11</f>
        <v>532.38852659932547</v>
      </c>
      <c r="E14" s="49">
        <f>QDD!E11</f>
        <v>2378.4067906892178</v>
      </c>
      <c r="F14" s="49">
        <f>QDD!F11</f>
        <v>3046.9095942757403</v>
      </c>
      <c r="G14" s="49">
        <f>QDD!G11</f>
        <v>3216.6593345233232</v>
      </c>
      <c r="H14" s="49">
        <f>QDD!H11</f>
        <v>4358.5917987597431</v>
      </c>
      <c r="I14" s="49">
        <f>QDD!I11</f>
        <v>4397.402200679544</v>
      </c>
      <c r="J14" s="49">
        <f>QDD!J11</f>
        <v>4432.8830424493799</v>
      </c>
      <c r="K14" s="49">
        <f>QDD!K11</f>
        <v>4468.1363668204503</v>
      </c>
      <c r="L14" s="49">
        <f>QDD!L11</f>
        <v>4503.7080523759996</v>
      </c>
      <c r="M14" s="49">
        <f>QDD!M11</f>
        <v>4539.3878566308413</v>
      </c>
      <c r="N14" s="49">
        <f>QDD!N11</f>
        <v>4598.7133687048117</v>
      </c>
      <c r="O14" s="49">
        <f>QDD!O11</f>
        <v>4887.5531848316696</v>
      </c>
      <c r="P14" s="49">
        <f>QDD!P11</f>
        <v>4949.3377607822076</v>
      </c>
      <c r="Q14" s="49">
        <f>QDD!Q11</f>
        <v>5010.5329190912707</v>
      </c>
      <c r="R14" s="49">
        <f>QDD!R11</f>
        <v>5070.9497605854531</v>
      </c>
      <c r="S14" s="49">
        <f>QDD!S11</f>
        <v>5130.4150343475194</v>
      </c>
      <c r="T14" s="49">
        <f>QDD!T11</f>
        <v>5188.854431585366</v>
      </c>
      <c r="U14" s="49">
        <f>QDD!U11</f>
        <v>5246.2992861549201</v>
      </c>
      <c r="V14" s="49">
        <f>QDD!V11</f>
        <v>5302.7981017130096</v>
      </c>
      <c r="W14" s="49">
        <f>QDD!W11</f>
        <v>5359.2156043298</v>
      </c>
      <c r="X14" s="49">
        <f>QDD!X11</f>
        <v>5434.5082326517668</v>
      </c>
      <c r="Y14" s="49">
        <f>QDD!Y11</f>
        <v>5508.3220444622248</v>
      </c>
      <c r="Z14" s="49">
        <f>QDD!Z11</f>
        <v>5580.6305796248107</v>
      </c>
      <c r="AA14" s="49">
        <f>QDD!AA11</f>
        <v>5651.3917617143979</v>
      </c>
      <c r="AB14" s="49">
        <f>QDD!AB11</f>
        <v>5720.5564909025434</v>
      </c>
      <c r="AC14" s="49">
        <f>QDD!AC11</f>
        <v>5788.059318137055</v>
      </c>
      <c r="AD14" s="49">
        <f>QDD!AD11</f>
        <v>5853.81594789055</v>
      </c>
      <c r="AE14" s="49">
        <f>QDD!AE11</f>
        <v>5917.7328538983302</v>
      </c>
      <c r="AF14" s="49">
        <f>QDD!AF11</f>
        <v>5979.6930899915205</v>
      </c>
      <c r="AG14" s="49">
        <f>QDD!AG11</f>
        <v>6039.5786750900879</v>
      </c>
      <c r="AH14" s="49">
        <f>QDD!AH11</f>
        <v>6097.2745212898553</v>
      </c>
      <c r="AI14" s="49">
        <f>QDD!AI11</f>
        <v>6152.6607067688492</v>
      </c>
      <c r="AJ14" s="49">
        <f>QDD!AJ11</f>
        <v>6205.638337359951</v>
      </c>
      <c r="AK14" s="49">
        <f>QDD!AK11</f>
        <v>6256.1888393284753</v>
      </c>
      <c r="AL14" s="49">
        <f>QDD!AL11</f>
        <v>6288.8932469760093</v>
      </c>
    </row>
    <row r="15" spans="2:38" ht="18" customHeight="1">
      <c r="B15" s="48" t="s">
        <v>109</v>
      </c>
      <c r="C15" s="49">
        <f t="shared" si="0"/>
        <v>21896.667300547972</v>
      </c>
      <c r="D15" s="50">
        <f>QDD!D16</f>
        <v>118.76522981437165</v>
      </c>
      <c r="E15" s="50">
        <f>QDD!E16</f>
        <v>197.05582360801702</v>
      </c>
      <c r="F15" s="50">
        <f>QDD!F16</f>
        <v>303.8858281125481</v>
      </c>
      <c r="G15" s="50">
        <f>QDD!G16</f>
        <v>687.68298373774769</v>
      </c>
      <c r="H15" s="50">
        <f>QDD!H16</f>
        <v>571.60816320478921</v>
      </c>
      <c r="I15" s="50">
        <f>QDD!I16</f>
        <v>695.89063470170402</v>
      </c>
      <c r="J15" s="50">
        <f>QDD!J16</f>
        <v>640.86064606995956</v>
      </c>
      <c r="K15" s="50">
        <f>QDD!K16</f>
        <v>543.2823971160982</v>
      </c>
      <c r="L15" s="50">
        <f>QDD!L16</f>
        <v>723.73892834590288</v>
      </c>
      <c r="M15" s="50">
        <f>QDD!M16</f>
        <v>636.03212685933693</v>
      </c>
      <c r="N15" s="50">
        <f>QDD!N16</f>
        <v>628.52976744456009</v>
      </c>
      <c r="O15" s="50">
        <f>QDD!O16</f>
        <v>637.88683734361905</v>
      </c>
      <c r="P15" s="50">
        <f>QDD!P16</f>
        <v>643.852989950081</v>
      </c>
      <c r="Q15" s="50">
        <f>QDD!Q16</f>
        <v>543.42308677105757</v>
      </c>
      <c r="R15" s="50">
        <f>QDD!R16</f>
        <v>566.04252592195132</v>
      </c>
      <c r="S15" s="50">
        <f>QDD!S16</f>
        <v>574.35477704955088</v>
      </c>
      <c r="T15" s="50">
        <f>QDD!T16</f>
        <v>596.7400435757861</v>
      </c>
      <c r="U15" s="50">
        <f>QDD!U16</f>
        <v>603.3464430173226</v>
      </c>
      <c r="V15" s="50">
        <f>QDD!V16</f>
        <v>609.84404400086248</v>
      </c>
      <c r="W15" s="50">
        <f>QDD!W16</f>
        <v>616.33229365478348</v>
      </c>
      <c r="X15" s="50">
        <f>QDD!X16</f>
        <v>647.42749585441584</v>
      </c>
      <c r="Y15" s="50">
        <f>QDD!Y16</f>
        <v>673.03947143242544</v>
      </c>
      <c r="Z15" s="50">
        <f>QDD!Z16</f>
        <v>681.87455730668125</v>
      </c>
      <c r="AA15" s="50">
        <f>QDD!AA16</f>
        <v>690.5205784011431</v>
      </c>
      <c r="AB15" s="50">
        <f>QDD!AB16</f>
        <v>698.97153540743443</v>
      </c>
      <c r="AC15" s="50">
        <f>QDD!AC16</f>
        <v>689.54698194831383</v>
      </c>
      <c r="AD15" s="50">
        <f>QDD!AD16</f>
        <v>715.25396656716441</v>
      </c>
      <c r="AE15" s="50">
        <f>QDD!AE16</f>
        <v>723.06371339892803</v>
      </c>
      <c r="AF15" s="50">
        <f>QDD!AF16</f>
        <v>730.63438269048004</v>
      </c>
      <c r="AG15" s="50">
        <f>QDD!AG16</f>
        <v>737.95155881341248</v>
      </c>
      <c r="AH15" s="50">
        <f>QDD!AH16</f>
        <v>726.38461584028551</v>
      </c>
      <c r="AI15" s="50">
        <f>QDD!AI16</f>
        <v>751.76859242459989</v>
      </c>
      <c r="AJ15" s="50">
        <f>QDD!AJ16</f>
        <v>758.24171367694612</v>
      </c>
      <c r="AK15" s="50">
        <f>QDD!AK16</f>
        <v>764.41827395263738</v>
      </c>
      <c r="AL15" s="50">
        <f>QDD!AL16</f>
        <v>768.41429253305728</v>
      </c>
    </row>
    <row r="16" spans="2:38" ht="18" customHeight="1">
      <c r="B16" s="48" t="s">
        <v>110</v>
      </c>
      <c r="C16" s="49">
        <f t="shared" si="0"/>
        <v>70141.1622150115</v>
      </c>
      <c r="D16" s="49">
        <f>QDD!D24</f>
        <v>562.10918400000014</v>
      </c>
      <c r="E16" s="49">
        <f>QDD!E24</f>
        <v>1294.3371770228121</v>
      </c>
      <c r="F16" s="49">
        <f>QDD!F24</f>
        <v>1598.1340522373409</v>
      </c>
      <c r="G16" s="49">
        <f>QDD!G24</f>
        <v>1643.1975143773714</v>
      </c>
      <c r="H16" s="49">
        <f>QDD!H24</f>
        <v>1661.3973569961843</v>
      </c>
      <c r="I16" s="49">
        <f>QDD!I24</f>
        <v>1684.4760694446877</v>
      </c>
      <c r="J16" s="49">
        <f>QDD!J24</f>
        <v>1706.6612181419064</v>
      </c>
      <c r="K16" s="49">
        <f>QDD!K24</f>
        <v>1729.0999239654764</v>
      </c>
      <c r="L16" s="49">
        <f>QDD!L24</f>
        <v>1751.9636027797314</v>
      </c>
      <c r="M16" s="49">
        <f>QDD!M24</f>
        <v>1775.126297032225</v>
      </c>
      <c r="N16" s="49">
        <f>QDD!N24</f>
        <v>1807.7967962140203</v>
      </c>
      <c r="O16" s="49">
        <f>QDD!O24</f>
        <v>1840.6791721804709</v>
      </c>
      <c r="P16" s="49">
        <f>QDD!P24</f>
        <v>1873.6127142145867</v>
      </c>
      <c r="Q16" s="49">
        <f>QDD!Q24</f>
        <v>1906.4481506855027</v>
      </c>
      <c r="R16" s="49">
        <f>QDD!R24</f>
        <v>1939.042149555642</v>
      </c>
      <c r="S16" s="49">
        <f>QDD!S24</f>
        <v>1971.2530383583849</v>
      </c>
      <c r="T16" s="49">
        <f>QDD!T24</f>
        <v>2002.9741368200482</v>
      </c>
      <c r="U16" s="49">
        <f>QDD!U24</f>
        <v>2034.1383319374229</v>
      </c>
      <c r="V16" s="49">
        <f>QDD!V24</f>
        <v>2064.6856106342325</v>
      </c>
      <c r="W16" s="49">
        <f>QDD!W24</f>
        <v>2094.87657996189</v>
      </c>
      <c r="X16" s="49">
        <f>QDD!X24</f>
        <v>2132.0768613663517</v>
      </c>
      <c r="Y16" s="49">
        <f>QDD!Y24</f>
        <v>2168.2804947669665</v>
      </c>
      <c r="Z16" s="49">
        <f>QDD!Z24</f>
        <v>2203.3999793672383</v>
      </c>
      <c r="AA16" s="49">
        <f>QDD!AA24</f>
        <v>2237.3464964119662</v>
      </c>
      <c r="AB16" s="49">
        <f>QDD!AB24</f>
        <v>2270.0342245849902</v>
      </c>
      <c r="AC16" s="49">
        <f>QDD!AC24</f>
        <v>2301.3774947374854</v>
      </c>
      <c r="AD16" s="49">
        <f>QDD!AD24</f>
        <v>2331.290518612358</v>
      </c>
      <c r="AE16" s="49">
        <f>QDD!AE24</f>
        <v>2359.6918382708609</v>
      </c>
      <c r="AF16" s="49">
        <f>QDD!AF24</f>
        <v>2386.4991895008138</v>
      </c>
      <c r="AG16" s="49">
        <f>QDD!AG24</f>
        <v>2411.6388183547347</v>
      </c>
      <c r="AH16" s="49">
        <f>QDD!AH24</f>
        <v>2435.9169870672567</v>
      </c>
      <c r="AI16" s="49">
        <f>QDD!AI24</f>
        <v>2459.2839591489887</v>
      </c>
      <c r="AJ16" s="49">
        <f>QDD!AJ24</f>
        <v>2481.6983315384309</v>
      </c>
      <c r="AK16" s="49">
        <f>QDD!AK24</f>
        <v>2503.1507817866095</v>
      </c>
      <c r="AL16" s="49">
        <f>QDD!AL24</f>
        <v>2517.4671629365248</v>
      </c>
    </row>
    <row r="17" spans="2:38" ht="18" customHeight="1">
      <c r="B17" s="48" t="s">
        <v>111</v>
      </c>
      <c r="C17" s="49">
        <f t="shared" si="0"/>
        <v>439755.26971656579</v>
      </c>
      <c r="D17" s="161">
        <f>QDJ!D17</f>
        <v>75652.133128787566</v>
      </c>
      <c r="E17" s="49">
        <f>QDJ!E17</f>
        <v>128350.51113418447</v>
      </c>
      <c r="F17" s="49">
        <f>QDJ!F17</f>
        <v>4242.2781619012985</v>
      </c>
      <c r="G17" s="49">
        <f>QDJ!G17</f>
        <v>4786.2298379275198</v>
      </c>
      <c r="H17" s="49">
        <f>QDJ!H17</f>
        <v>4930.9333308119467</v>
      </c>
      <c r="I17" s="49">
        <f>QDJ!I17</f>
        <v>4936.8541205315132</v>
      </c>
      <c r="J17" s="49">
        <f>QDJ!J17</f>
        <v>4965.7241270830964</v>
      </c>
      <c r="K17" s="49">
        <f>QDJ!K17</f>
        <v>5061.284991843605</v>
      </c>
      <c r="L17" s="49">
        <f>QDJ!L17</f>
        <v>5109.5328601337969</v>
      </c>
      <c r="M17" s="49">
        <f>QDJ!M17</f>
        <v>5201.3323989291948</v>
      </c>
      <c r="N17" s="49">
        <f>QDJ!N17</f>
        <v>5265.4839318013637</v>
      </c>
      <c r="O17" s="49">
        <f>QDJ!O17</f>
        <v>5329.3540538656125</v>
      </c>
      <c r="P17" s="49">
        <f>QDJ!P17</f>
        <v>5386.3972891631192</v>
      </c>
      <c r="Q17" s="49">
        <f>QDJ!Q17</f>
        <v>5514.0018512131155</v>
      </c>
      <c r="R17" s="49">
        <f>QDJ!R17</f>
        <v>8076.7366857134066</v>
      </c>
      <c r="S17" s="49">
        <f>QDJ!S17</f>
        <v>5653.4192457540357</v>
      </c>
      <c r="T17" s="49">
        <f>QDJ!T17</f>
        <v>13917.722278182997</v>
      </c>
      <c r="U17" s="49">
        <f>QDJ!U17</f>
        <v>5846.3947932214041</v>
      </c>
      <c r="V17" s="49">
        <f>QDJ!V17</f>
        <v>5900.8074621785472</v>
      </c>
      <c r="W17" s="49">
        <f>QDJ!W17</f>
        <v>6100.4805918775555</v>
      </c>
      <c r="X17" s="49">
        <f>QDJ!X17</f>
        <v>6160.9188827995777</v>
      </c>
      <c r="Y17" s="49">
        <f>QDJ!Y17</f>
        <v>6235.1417213526738</v>
      </c>
      <c r="Z17" s="49">
        <f>QDJ!Z17</f>
        <v>6386.7981585723001</v>
      </c>
      <c r="AA17" s="49">
        <f>QDJ!AA17</f>
        <v>6464.5095047149462</v>
      </c>
      <c r="AB17" s="49">
        <f>QDJ!AB17</f>
        <v>6606.5327325414219</v>
      </c>
      <c r="AC17" s="49">
        <f>QDJ!AC17</f>
        <v>6678.8811604938846</v>
      </c>
      <c r="AD17" s="49">
        <f>QDJ!AD17</f>
        <v>6748.594355543104</v>
      </c>
      <c r="AE17" s="49">
        <f>QDJ!AE17</f>
        <v>6807.8273470165968</v>
      </c>
      <c r="AF17" s="49">
        <f>QDJ!AF17</f>
        <v>6949.1795984253249</v>
      </c>
      <c r="AG17" s="49">
        <f>QDJ!AG17</f>
        <v>27978.76578215351</v>
      </c>
      <c r="AH17" s="49">
        <f>QDJ!AH17</f>
        <v>7067.2501157482529</v>
      </c>
      <c r="AI17" s="49">
        <f>QDJ!AI17</f>
        <v>7208.8814446938477</v>
      </c>
      <c r="AJ17" s="49">
        <f>QDJ!AJ17</f>
        <v>7268.9418525413548</v>
      </c>
      <c r="AK17" s="49">
        <f>QDJ!AK17</f>
        <v>7318.3359002576935</v>
      </c>
      <c r="AL17" s="49">
        <f>QDJ!AL17</f>
        <v>13647.098884606217</v>
      </c>
    </row>
    <row r="18" spans="2:38" ht="18" customHeight="1">
      <c r="B18" s="48" t="s">
        <v>112</v>
      </c>
      <c r="C18" s="49">
        <f t="shared" si="0"/>
        <v>39624.86207868177</v>
      </c>
      <c r="D18" s="49">
        <f>QDD!D38</f>
        <v>579.04000690985606</v>
      </c>
      <c r="E18" s="49">
        <f>QDD!E38</f>
        <v>778.78878617912414</v>
      </c>
      <c r="F18" s="49">
        <f>QDD!F38</f>
        <v>879.63322463950726</v>
      </c>
      <c r="G18" s="49">
        <f>QDD!G38</f>
        <v>893.83273721416685</v>
      </c>
      <c r="H18" s="49">
        <f>QDD!H38</f>
        <v>906.83351919633242</v>
      </c>
      <c r="I18" s="49">
        <f>QDD!I38</f>
        <v>921.04600512168372</v>
      </c>
      <c r="J18" s="49">
        <f>QDD!J38</f>
        <v>936.10340478264834</v>
      </c>
      <c r="K18" s="49">
        <f>QDD!K38</f>
        <v>951.2715480503432</v>
      </c>
      <c r="L18" s="49">
        <f>QDD!L38</f>
        <v>967.99058941989756</v>
      </c>
      <c r="M18" s="49">
        <f>QDD!M38</f>
        <v>986.05011758016906</v>
      </c>
      <c r="N18" s="49">
        <f>QDD!N38</f>
        <v>1001.5359353221106</v>
      </c>
      <c r="O18" s="49">
        <f>QDD!O38</f>
        <v>1019.8172003951441</v>
      </c>
      <c r="P18" s="49">
        <f>QDD!P38</f>
        <v>1033.2780031771067</v>
      </c>
      <c r="Q18" s="49">
        <f>QDD!Q38</f>
        <v>1047.3219420474807</v>
      </c>
      <c r="R18" s="49">
        <f>QDD!R38</f>
        <v>1084.4847415249133</v>
      </c>
      <c r="S18" s="49">
        <f>QDD!S38</f>
        <v>1101.5342917789808</v>
      </c>
      <c r="T18" s="49">
        <f>QDD!T38</f>
        <v>1121.95822773891</v>
      </c>
      <c r="U18" s="49">
        <f>QDD!U38</f>
        <v>1137.9216847013745</v>
      </c>
      <c r="V18" s="49">
        <f>QDD!V38</f>
        <v>1154.565801921568</v>
      </c>
      <c r="W18" s="49">
        <f>QDD!W38</f>
        <v>1171.1086484229825</v>
      </c>
      <c r="X18" s="49">
        <f>QDD!X38</f>
        <v>1186.1296841306043</v>
      </c>
      <c r="Y18" s="49">
        <f>QDD!Y38</f>
        <v>1208.2154799665514</v>
      </c>
      <c r="Z18" s="49">
        <f>QDD!Z38</f>
        <v>1225.1143614668986</v>
      </c>
      <c r="AA18" s="49">
        <f>QDD!AA38</f>
        <v>1242.9716362817953</v>
      </c>
      <c r="AB18" s="49">
        <f>QDD!AB38</f>
        <v>1284.2717199999995</v>
      </c>
      <c r="AC18" s="49">
        <f>QDD!AC38</f>
        <v>1301.1084112932538</v>
      </c>
      <c r="AD18" s="49">
        <f>QDD!AD38</f>
        <v>1319.71243838908</v>
      </c>
      <c r="AE18" s="49">
        <f>QDD!AE38</f>
        <v>1333.2013257440817</v>
      </c>
      <c r="AF18" s="49">
        <f>QDD!AF38</f>
        <v>1348.5551039311451</v>
      </c>
      <c r="AG18" s="49">
        <f>QDD!AG38</f>
        <v>1368.3792121635672</v>
      </c>
      <c r="AH18" s="49">
        <f>QDD!AH38</f>
        <v>1384.8390741992059</v>
      </c>
      <c r="AI18" s="49">
        <f>QDD!AI38</f>
        <v>1409.3861456392517</v>
      </c>
      <c r="AJ18" s="49">
        <f>QDD!AJ38</f>
        <v>1428.4232745670618</v>
      </c>
      <c r="AK18" s="49">
        <f>QDD!AK38</f>
        <v>1443.9369527639187</v>
      </c>
      <c r="AL18" s="49">
        <f>QDD!AL38</f>
        <v>1466.5008420210522</v>
      </c>
    </row>
    <row r="19" spans="2:38" ht="18" customHeight="1">
      <c r="B19" s="48" t="s">
        <v>113</v>
      </c>
      <c r="C19" s="49">
        <f t="shared" si="0"/>
        <v>31457.211819628668</v>
      </c>
      <c r="D19" s="49">
        <f>QDD!D43</f>
        <v>0</v>
      </c>
      <c r="E19" s="49">
        <f>QDD!E43</f>
        <v>0</v>
      </c>
      <c r="F19" s="49">
        <f>QDD!F43</f>
        <v>0</v>
      </c>
      <c r="G19" s="49">
        <f>QDD!G43</f>
        <v>177.2835071616953</v>
      </c>
      <c r="H19" s="49">
        <f>QDD!H43</f>
        <v>34.353098634574515</v>
      </c>
      <c r="I19" s="49">
        <f>QDD!I43</f>
        <v>120.20703301452086</v>
      </c>
      <c r="J19" s="49">
        <f>QDD!J43</f>
        <v>652.98667391136951</v>
      </c>
      <c r="K19" s="49">
        <f>QDD!K43</f>
        <v>1003.0068002534191</v>
      </c>
      <c r="L19" s="49">
        <f>QDD!L43</f>
        <v>1192.0338393047221</v>
      </c>
      <c r="M19" s="49">
        <f>QDD!M43</f>
        <v>1047.1305512858844</v>
      </c>
      <c r="N19" s="49">
        <f>QDD!N43</f>
        <v>807.3888863214562</v>
      </c>
      <c r="O19" s="49">
        <f>QDD!O43</f>
        <v>587.27278727656676</v>
      </c>
      <c r="P19" s="49">
        <f>QDD!P43</f>
        <v>805.42256776777288</v>
      </c>
      <c r="Q19" s="49">
        <f>QDD!Q43</f>
        <v>1137.733003395304</v>
      </c>
      <c r="R19" s="49">
        <f>QDD!R43</f>
        <v>1137.733003395304</v>
      </c>
      <c r="S19" s="49">
        <f>QDD!S43</f>
        <v>1137.733003395304</v>
      </c>
      <c r="T19" s="49">
        <f>QDD!T43</f>
        <v>1137.733003395304</v>
      </c>
      <c r="U19" s="49">
        <f>QDD!U43</f>
        <v>1137.733003395304</v>
      </c>
      <c r="V19" s="49">
        <f>QDD!V43</f>
        <v>1137.733003395304</v>
      </c>
      <c r="W19" s="49">
        <f>QDD!W43</f>
        <v>1137.733003395304</v>
      </c>
      <c r="X19" s="49">
        <f>QDD!X43</f>
        <v>1137.733003395304</v>
      </c>
      <c r="Y19" s="49">
        <f>QDD!Y43</f>
        <v>1137.733003395304</v>
      </c>
      <c r="Z19" s="49">
        <f>QDD!Z43</f>
        <v>1137.733003395304</v>
      </c>
      <c r="AA19" s="49">
        <f>QDD!AA43</f>
        <v>1137.733003395304</v>
      </c>
      <c r="AB19" s="49">
        <f>QDD!AB43</f>
        <v>1137.733003395304</v>
      </c>
      <c r="AC19" s="49">
        <f>QDD!AC43</f>
        <v>1137.733003395304</v>
      </c>
      <c r="AD19" s="49">
        <f>QDD!AD43</f>
        <v>1137.733003395304</v>
      </c>
      <c r="AE19" s="49">
        <f>QDD!AE43</f>
        <v>1137.733003395304</v>
      </c>
      <c r="AF19" s="49">
        <f>QDD!AF43</f>
        <v>1137.733003395304</v>
      </c>
      <c r="AG19" s="49">
        <f>QDD!AG43</f>
        <v>1137.733003395304</v>
      </c>
      <c r="AH19" s="49">
        <f>QDD!AH43</f>
        <v>1137.733003395304</v>
      </c>
      <c r="AI19" s="49">
        <f>QDD!AI43</f>
        <v>1137.733003395304</v>
      </c>
      <c r="AJ19" s="49">
        <f>QDD!AJ43</f>
        <v>1137.733003395304</v>
      </c>
      <c r="AK19" s="49">
        <f>QDD!AK43</f>
        <v>1137.733003395304</v>
      </c>
      <c r="AL19" s="49">
        <f>QDD!AL43</f>
        <v>1137.733003395304</v>
      </c>
    </row>
    <row r="20" spans="2:38" ht="18" customHeight="1">
      <c r="B20" s="48" t="s">
        <v>369</v>
      </c>
      <c r="C20" s="49">
        <f t="shared" si="0"/>
        <v>0</v>
      </c>
      <c r="D20" s="49">
        <f>QDG!D9</f>
        <v>0</v>
      </c>
      <c r="E20" s="49">
        <f>QDG!E9</f>
        <v>0</v>
      </c>
      <c r="F20" s="49">
        <f>QDG!F9</f>
        <v>0</v>
      </c>
      <c r="G20" s="49">
        <f>QDG!G9</f>
        <v>0</v>
      </c>
      <c r="H20" s="49">
        <f>QDG!H9</f>
        <v>0</v>
      </c>
      <c r="I20" s="49">
        <f>QDG!I9</f>
        <v>0</v>
      </c>
      <c r="J20" s="49">
        <f>QDG!J9</f>
        <v>0</v>
      </c>
      <c r="K20" s="49">
        <f>QDG!K9</f>
        <v>0</v>
      </c>
      <c r="L20" s="49">
        <f>QDG!L9</f>
        <v>0</v>
      </c>
      <c r="M20" s="49">
        <f>QDG!M9</f>
        <v>0</v>
      </c>
      <c r="N20" s="49">
        <f>QDG!N9</f>
        <v>0</v>
      </c>
      <c r="O20" s="49">
        <f>QDG!O9</f>
        <v>0</v>
      </c>
      <c r="P20" s="49">
        <f>QDG!P9</f>
        <v>0</v>
      </c>
      <c r="Q20" s="49">
        <f>QDG!Q9</f>
        <v>0</v>
      </c>
      <c r="R20" s="49">
        <f>QDG!R9</f>
        <v>0</v>
      </c>
      <c r="S20" s="49">
        <f>QDG!S9</f>
        <v>0</v>
      </c>
      <c r="T20" s="49">
        <f>QDG!T9</f>
        <v>0</v>
      </c>
      <c r="U20" s="49">
        <f>QDG!U9</f>
        <v>0</v>
      </c>
      <c r="V20" s="49">
        <f>QDG!V9</f>
        <v>0</v>
      </c>
      <c r="W20" s="49">
        <f>QDG!W9</f>
        <v>0</v>
      </c>
      <c r="X20" s="49">
        <f>QDG!X9</f>
        <v>0</v>
      </c>
      <c r="Y20" s="49">
        <f>QDG!Y9</f>
        <v>0</v>
      </c>
      <c r="Z20" s="49">
        <f>QDG!Z9</f>
        <v>0</v>
      </c>
      <c r="AA20" s="49">
        <f>QDG!AA9</f>
        <v>0</v>
      </c>
      <c r="AB20" s="49">
        <f>QDG!AB9</f>
        <v>0</v>
      </c>
      <c r="AC20" s="49">
        <f>QDG!AC9</f>
        <v>0</v>
      </c>
      <c r="AD20" s="49">
        <f>QDG!AD9</f>
        <v>0</v>
      </c>
      <c r="AE20" s="49">
        <f>QDG!AE9</f>
        <v>0</v>
      </c>
      <c r="AF20" s="49">
        <f>QDG!AF9</f>
        <v>0</v>
      </c>
      <c r="AG20" s="49">
        <f>QDG!AG9</f>
        <v>0</v>
      </c>
      <c r="AH20" s="49">
        <f>QDG!AH9</f>
        <v>0</v>
      </c>
      <c r="AI20" s="49">
        <f>QDG!AI9</f>
        <v>0</v>
      </c>
      <c r="AJ20" s="49">
        <f>QDG!AJ9</f>
        <v>0</v>
      </c>
      <c r="AK20" s="49">
        <f>QDG!AK9</f>
        <v>0</v>
      </c>
      <c r="AL20" s="49">
        <f>QDG!AL9</f>
        <v>0</v>
      </c>
    </row>
    <row r="21" spans="2:38" ht="18" customHeight="1">
      <c r="B21" s="32" t="s">
        <v>196</v>
      </c>
      <c r="C21" s="49">
        <f t="shared" si="0"/>
        <v>318249.53761307994</v>
      </c>
      <c r="D21" s="49">
        <f>QDF!E17</f>
        <v>1095.9084936900663</v>
      </c>
      <c r="E21" s="49">
        <f>QDF!F17</f>
        <v>5031.6637335292871</v>
      </c>
      <c r="F21" s="49">
        <f>QDF!G17</f>
        <v>9701.7837301177206</v>
      </c>
      <c r="G21" s="49">
        <f>QDF!H17</f>
        <v>9903.2205016724874</v>
      </c>
      <c r="H21" s="49">
        <f>QDF!I17</f>
        <v>9954.0213234049861</v>
      </c>
      <c r="I21" s="49">
        <f>QDF!J17</f>
        <v>9027.5922835141882</v>
      </c>
      <c r="J21" s="49">
        <f>QDF!K17</f>
        <v>7626.98487004658</v>
      </c>
      <c r="K21" s="49">
        <f>QDF!L17</f>
        <v>7033.923826647504</v>
      </c>
      <c r="L21" s="49">
        <f>QDF!M17</f>
        <v>6893.5780313579617</v>
      </c>
      <c r="M21" s="49">
        <f>QDF!N17</f>
        <v>6745.411692203852</v>
      </c>
      <c r="N21" s="49">
        <f>QDF!O17</f>
        <v>6837.009688644519</v>
      </c>
      <c r="O21" s="49">
        <f>QDF!P17</f>
        <v>6989.6148701007687</v>
      </c>
      <c r="P21" s="49">
        <f>QDF!Q17</f>
        <v>6942.6670505757684</v>
      </c>
      <c r="Q21" s="49">
        <f>QDF!R17</f>
        <v>8016.3500608492068</v>
      </c>
      <c r="R21" s="49">
        <f>QDF!S17</f>
        <v>9139.7999533101429</v>
      </c>
      <c r="S21" s="49">
        <f>QDF!T17</f>
        <v>9225.1830752469832</v>
      </c>
      <c r="T21" s="49">
        <f>QDF!U17</f>
        <v>9293.5397767978138</v>
      </c>
      <c r="U21" s="49">
        <f>QDF!V17</f>
        <v>9884.8947229358419</v>
      </c>
      <c r="V21" s="49">
        <f>QDF!W17</f>
        <v>8829.428271568655</v>
      </c>
      <c r="W21" s="49">
        <f>QDF!X17</f>
        <v>7705.978379107718</v>
      </c>
      <c r="X21" s="49">
        <f>QDF!Y17</f>
        <v>7723.4777348889675</v>
      </c>
      <c r="Y21" s="49">
        <f>QDF!Z17</f>
        <v>7765.1889522443871</v>
      </c>
      <c r="Z21" s="49">
        <f>QDF!AA17</f>
        <v>7671.4475338185575</v>
      </c>
      <c r="AA21" s="49">
        <f>QDF!AB17</f>
        <v>8881.0206250880892</v>
      </c>
      <c r="AB21" s="49">
        <f>QDF!AC17</f>
        <v>10140.563555263871</v>
      </c>
      <c r="AC21" s="49">
        <f>QDF!AD17</f>
        <v>9973.7984194826204</v>
      </c>
      <c r="AD21" s="49">
        <f>QDF!AE17</f>
        <v>9706.8806258888708</v>
      </c>
      <c r="AE21" s="49">
        <f>QDF!AF17</f>
        <v>9706.6676458888705</v>
      </c>
      <c r="AF21" s="49">
        <f>QDF!AG17</f>
        <v>8647.3970627443396</v>
      </c>
      <c r="AG21" s="49">
        <f>QDF!AH17</f>
        <v>7552.7497217873079</v>
      </c>
      <c r="AH21" s="49">
        <f>QDF!AI17</f>
        <v>12310.480891712987</v>
      </c>
      <c r="AI21" s="49">
        <f>QDF!AJ17</f>
        <v>12714.912845493369</v>
      </c>
      <c r="AJ21" s="49">
        <f>QDF!AK17</f>
        <v>12647.968466587119</v>
      </c>
      <c r="AK21" s="49">
        <f>QDF!AL17</f>
        <v>14200.479225088617</v>
      </c>
      <c r="AL21" s="49">
        <f>QDF!AM17</f>
        <v>22727.949971779868</v>
      </c>
    </row>
    <row r="22" spans="2:38" ht="24.95" customHeight="1">
      <c r="B22" s="34" t="s">
        <v>76</v>
      </c>
      <c r="C22" s="41">
        <f t="shared" si="0"/>
        <v>2177496.4058441683</v>
      </c>
      <c r="D22" s="41">
        <f>D11-D12</f>
        <v>-13804.014381703513</v>
      </c>
      <c r="E22" s="41">
        <f t="shared" ref="E22:AG22" si="5">E11-E12</f>
        <v>-22919.845050347154</v>
      </c>
      <c r="F22" s="41">
        <f t="shared" si="5"/>
        <v>6065.449625582416</v>
      </c>
      <c r="G22" s="41">
        <f t="shared" si="5"/>
        <v>15559.609497608057</v>
      </c>
      <c r="H22" s="41">
        <f t="shared" si="5"/>
        <v>20631.112798487193</v>
      </c>
      <c r="I22" s="41">
        <f t="shared" si="5"/>
        <v>24464.791544637308</v>
      </c>
      <c r="J22" s="41">
        <f t="shared" si="5"/>
        <v>26889.810000314304</v>
      </c>
      <c r="K22" s="41">
        <f t="shared" si="5"/>
        <v>30311.934767492152</v>
      </c>
      <c r="L22" s="41">
        <f t="shared" si="5"/>
        <v>33404.824402585742</v>
      </c>
      <c r="M22" s="41">
        <f t="shared" si="5"/>
        <v>37289.625476160203</v>
      </c>
      <c r="N22" s="41">
        <f t="shared" si="5"/>
        <v>40847.281730281742</v>
      </c>
      <c r="O22" s="41">
        <f t="shared" si="5"/>
        <v>44214.141676173298</v>
      </c>
      <c r="P22" s="41">
        <f t="shared" si="5"/>
        <v>47750.341201942152</v>
      </c>
      <c r="Q22" s="41">
        <f t="shared" si="5"/>
        <v>50169.813375811893</v>
      </c>
      <c r="R22" s="41">
        <f t="shared" si="5"/>
        <v>48949.494848634349</v>
      </c>
      <c r="S22" s="41">
        <f t="shared" si="5"/>
        <v>52128.513913366318</v>
      </c>
      <c r="T22" s="41">
        <f t="shared" si="5"/>
        <v>56083.014595833149</v>
      </c>
      <c r="U22" s="41">
        <f t="shared" si="5"/>
        <v>59172.172409128187</v>
      </c>
      <c r="V22" s="41">
        <f t="shared" si="5"/>
        <v>64239.528931342138</v>
      </c>
      <c r="W22" s="41">
        <f t="shared" si="5"/>
        <v>69362.899080255855</v>
      </c>
      <c r="X22" s="41">
        <f t="shared" si="5"/>
        <v>72507.840219862308</v>
      </c>
      <c r="Y22" s="41">
        <f t="shared" si="5"/>
        <v>76705.942730762647</v>
      </c>
      <c r="Z22" s="41">
        <f t="shared" si="5"/>
        <v>81020.937212621648</v>
      </c>
      <c r="AA22" s="41">
        <f t="shared" si="5"/>
        <v>84134.079562430081</v>
      </c>
      <c r="AB22" s="41">
        <f t="shared" si="5"/>
        <v>87128.568144008896</v>
      </c>
      <c r="AC22" s="41">
        <f t="shared" si="5"/>
        <v>91669.396033652447</v>
      </c>
      <c r="AD22" s="41">
        <f t="shared" si="5"/>
        <v>96271.539274232899</v>
      </c>
      <c r="AE22" s="41">
        <f t="shared" si="5"/>
        <v>100622.1098716768</v>
      </c>
      <c r="AF22" s="41">
        <f t="shared" si="5"/>
        <v>105913.60147014757</v>
      </c>
      <c r="AG22" s="41">
        <f t="shared" si="5"/>
        <v>111832.66111909042</v>
      </c>
      <c r="AH22" s="41">
        <f>AH11-AH12</f>
        <v>110721.75393780402</v>
      </c>
      <c r="AI22" s="41">
        <f>AI11-AI12</f>
        <v>114314.35032313073</v>
      </c>
      <c r="AJ22" s="41">
        <f>AJ11-AJ12</f>
        <v>118379.82094470035</v>
      </c>
      <c r="AK22" s="41">
        <f>AK11-AK12</f>
        <v>120724.75970340703</v>
      </c>
      <c r="AL22" s="41">
        <f>AL11-AL12</f>
        <v>114738.54485305442</v>
      </c>
    </row>
    <row r="23" spans="2:38" ht="24.95" customHeight="1">
      <c r="B23" s="34" t="s">
        <v>77</v>
      </c>
      <c r="C23" s="41">
        <f t="shared" si="0"/>
        <v>-57339.508606375573</v>
      </c>
      <c r="D23" s="41">
        <f>D24-D25</f>
        <v>-1239.3235329634635</v>
      </c>
      <c r="E23" s="41">
        <f t="shared" ref="E23:AG23" si="6">E24-E25</f>
        <v>-7760.7386624164919</v>
      </c>
      <c r="F23" s="41">
        <f t="shared" si="6"/>
        <v>-6905.6352015708007</v>
      </c>
      <c r="G23" s="41">
        <f t="shared" si="6"/>
        <v>-6374.432493757663</v>
      </c>
      <c r="H23" s="41">
        <f t="shared" si="6"/>
        <v>-5843.2297859445243</v>
      </c>
      <c r="I23" s="41">
        <f t="shared" si="6"/>
        <v>-5312.0270781313857</v>
      </c>
      <c r="J23" s="41">
        <f t="shared" si="6"/>
        <v>-4780.824370318247</v>
      </c>
      <c r="K23" s="41">
        <f t="shared" si="6"/>
        <v>-4249.6216625051093</v>
      </c>
      <c r="L23" s="41">
        <f t="shared" si="6"/>
        <v>-3718.4189546919702</v>
      </c>
      <c r="M23" s="41">
        <f t="shared" si="6"/>
        <v>-3187.2162468788315</v>
      </c>
      <c r="N23" s="41">
        <f t="shared" si="6"/>
        <v>-2656.0135390656928</v>
      </c>
      <c r="O23" s="41">
        <f t="shared" si="6"/>
        <v>-2124.8108312525546</v>
      </c>
      <c r="P23" s="41">
        <f t="shared" si="6"/>
        <v>-1593.6081234394157</v>
      </c>
      <c r="Q23" s="41">
        <f t="shared" si="6"/>
        <v>-1062.4054156262771</v>
      </c>
      <c r="R23" s="41">
        <f t="shared" si="6"/>
        <v>-531.20270781313866</v>
      </c>
      <c r="S23" s="41">
        <f t="shared" si="6"/>
        <v>7.234616945921049E-14</v>
      </c>
      <c r="T23" s="41">
        <f t="shared" si="6"/>
        <v>7.234616945921049E-14</v>
      </c>
      <c r="U23" s="41">
        <f t="shared" si="6"/>
        <v>7.234616945921049E-14</v>
      </c>
      <c r="V23" s="41">
        <f t="shared" si="6"/>
        <v>7.234616945921049E-14</v>
      </c>
      <c r="W23" s="41">
        <f t="shared" si="6"/>
        <v>7.234616945921049E-14</v>
      </c>
      <c r="X23" s="41">
        <f t="shared" si="6"/>
        <v>7.234616945921049E-14</v>
      </c>
      <c r="Y23" s="41">
        <f t="shared" si="6"/>
        <v>7.234616945921049E-14</v>
      </c>
      <c r="Z23" s="41">
        <f t="shared" si="6"/>
        <v>7.234616945921049E-14</v>
      </c>
      <c r="AA23" s="41">
        <f t="shared" si="6"/>
        <v>7.234616945921049E-14</v>
      </c>
      <c r="AB23" s="41">
        <f t="shared" si="6"/>
        <v>7.234616945921049E-14</v>
      </c>
      <c r="AC23" s="41">
        <f t="shared" si="6"/>
        <v>7.234616945921049E-14</v>
      </c>
      <c r="AD23" s="41">
        <f t="shared" si="6"/>
        <v>7.234616945921049E-14</v>
      </c>
      <c r="AE23" s="41">
        <f t="shared" si="6"/>
        <v>7.234616945921049E-14</v>
      </c>
      <c r="AF23" s="41">
        <f t="shared" si="6"/>
        <v>7.234616945921049E-14</v>
      </c>
      <c r="AG23" s="41">
        <f t="shared" si="6"/>
        <v>7.234616945921049E-14</v>
      </c>
      <c r="AH23" s="41">
        <f>AH24-AH25</f>
        <v>7.234616945921049E-14</v>
      </c>
      <c r="AI23" s="41">
        <f>AI24-AI25</f>
        <v>7.234616945921049E-14</v>
      </c>
      <c r="AJ23" s="41">
        <f>AJ24-AJ25</f>
        <v>7.234616945921049E-14</v>
      </c>
      <c r="AK23" s="41">
        <f>AK24-AK25</f>
        <v>7.234616945921049E-14</v>
      </c>
      <c r="AL23" s="41">
        <f>AL24-AL25</f>
        <v>7.234616945921049E-14</v>
      </c>
    </row>
    <row r="24" spans="2:38" ht="18" customHeight="1">
      <c r="B24" s="48" t="s">
        <v>86</v>
      </c>
      <c r="C24" s="40">
        <f t="shared" si="0"/>
        <v>0</v>
      </c>
      <c r="D24" s="40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</row>
    <row r="25" spans="2:38" ht="18" customHeight="1">
      <c r="B25" s="48" t="s">
        <v>87</v>
      </c>
      <c r="C25" s="64">
        <f t="shared" si="0"/>
        <v>57339.508606375573</v>
      </c>
      <c r="D25" s="64">
        <f>QDI!D12</f>
        <v>1239.3235329634635</v>
      </c>
      <c r="E25" s="64">
        <f>QDI!E12</f>
        <v>7760.7386624164919</v>
      </c>
      <c r="F25" s="64">
        <f>QDI!F12</f>
        <v>6905.6352015708007</v>
      </c>
      <c r="G25" s="64">
        <f>QDI!G12</f>
        <v>6374.432493757663</v>
      </c>
      <c r="H25" s="64">
        <f>QDI!H12</f>
        <v>5843.2297859445243</v>
      </c>
      <c r="I25" s="64">
        <f>QDI!I12</f>
        <v>5312.0270781313857</v>
      </c>
      <c r="J25" s="64">
        <f>QDI!J12</f>
        <v>4780.824370318247</v>
      </c>
      <c r="K25" s="64">
        <f>QDI!K12</f>
        <v>4249.6216625051093</v>
      </c>
      <c r="L25" s="64">
        <f>QDI!L12</f>
        <v>3718.4189546919702</v>
      </c>
      <c r="M25" s="64">
        <f>QDI!M12</f>
        <v>3187.2162468788315</v>
      </c>
      <c r="N25" s="64">
        <f>QDI!N12</f>
        <v>2656.0135390656928</v>
      </c>
      <c r="O25" s="64">
        <f>QDI!O12</f>
        <v>2124.8108312525546</v>
      </c>
      <c r="P25" s="64">
        <f>QDI!P12</f>
        <v>1593.6081234394157</v>
      </c>
      <c r="Q25" s="64">
        <f>QDI!Q12</f>
        <v>1062.4054156262771</v>
      </c>
      <c r="R25" s="64">
        <f>QDI!R12</f>
        <v>531.20270781313866</v>
      </c>
      <c r="S25" s="64">
        <f>QDI!S12</f>
        <v>-7.234616945921049E-14</v>
      </c>
      <c r="T25" s="64">
        <f>QDI!T12</f>
        <v>-7.234616945921049E-14</v>
      </c>
      <c r="U25" s="64">
        <f>QDI!U12</f>
        <v>-7.234616945921049E-14</v>
      </c>
      <c r="V25" s="64">
        <f>QDI!V12</f>
        <v>-7.234616945921049E-14</v>
      </c>
      <c r="W25" s="64">
        <f>QDI!W12</f>
        <v>-7.234616945921049E-14</v>
      </c>
      <c r="X25" s="64">
        <f>QDI!X12</f>
        <v>-7.234616945921049E-14</v>
      </c>
      <c r="Y25" s="64">
        <f>QDI!Y12</f>
        <v>-7.234616945921049E-14</v>
      </c>
      <c r="Z25" s="64">
        <f>QDI!Z12</f>
        <v>-7.234616945921049E-14</v>
      </c>
      <c r="AA25" s="64">
        <f>QDI!AA12</f>
        <v>-7.234616945921049E-14</v>
      </c>
      <c r="AB25" s="64">
        <f>QDI!AB12</f>
        <v>-7.234616945921049E-14</v>
      </c>
      <c r="AC25" s="64">
        <f>QDI!AC12</f>
        <v>-7.234616945921049E-14</v>
      </c>
      <c r="AD25" s="64">
        <f>QDI!AD12</f>
        <v>-7.234616945921049E-14</v>
      </c>
      <c r="AE25" s="64">
        <f>QDI!AE12</f>
        <v>-7.234616945921049E-14</v>
      </c>
      <c r="AF25" s="64">
        <f>QDI!AF12</f>
        <v>-7.234616945921049E-14</v>
      </c>
      <c r="AG25" s="64">
        <f>QDI!AG12</f>
        <v>-7.234616945921049E-14</v>
      </c>
      <c r="AH25" s="64">
        <f>QDI!AH12</f>
        <v>-7.234616945921049E-14</v>
      </c>
      <c r="AI25" s="64">
        <f>QDI!AI12</f>
        <v>-7.234616945921049E-14</v>
      </c>
      <c r="AJ25" s="64">
        <f>QDI!AJ12</f>
        <v>-7.234616945921049E-14</v>
      </c>
      <c r="AK25" s="64">
        <f>QDI!AK12</f>
        <v>-7.234616945921049E-14</v>
      </c>
      <c r="AL25" s="64">
        <f>QDI!AL12</f>
        <v>-7.234616945921049E-14</v>
      </c>
    </row>
    <row r="26" spans="2:38" ht="24.95" customHeight="1">
      <c r="B26" s="34" t="s">
        <v>88</v>
      </c>
      <c r="C26" s="41">
        <f t="shared" si="0"/>
        <v>2120156.8972377926</v>
      </c>
      <c r="D26" s="41">
        <f>D22+D23</f>
        <v>-15043.337914666976</v>
      </c>
      <c r="E26" s="41">
        <f t="shared" ref="E26:AG26" si="7">E22+E23</f>
        <v>-30680.583712763648</v>
      </c>
      <c r="F26" s="41">
        <f t="shared" si="7"/>
        <v>-840.1855759883847</v>
      </c>
      <c r="G26" s="41">
        <f t="shared" si="7"/>
        <v>9185.1770038503928</v>
      </c>
      <c r="H26" s="41">
        <f t="shared" si="7"/>
        <v>14787.883012542668</v>
      </c>
      <c r="I26" s="41">
        <f t="shared" si="7"/>
        <v>19152.764466505923</v>
      </c>
      <c r="J26" s="41">
        <f t="shared" si="7"/>
        <v>22108.985629996059</v>
      </c>
      <c r="K26" s="41">
        <f t="shared" si="7"/>
        <v>26062.313104987043</v>
      </c>
      <c r="L26" s="41">
        <f t="shared" si="7"/>
        <v>29686.405447893772</v>
      </c>
      <c r="M26" s="41">
        <f t="shared" si="7"/>
        <v>34102.409229281373</v>
      </c>
      <c r="N26" s="41">
        <f t="shared" si="7"/>
        <v>38191.268191216048</v>
      </c>
      <c r="O26" s="41">
        <f t="shared" si="7"/>
        <v>42089.33084492074</v>
      </c>
      <c r="P26" s="41">
        <f t="shared" si="7"/>
        <v>46156.733078502737</v>
      </c>
      <c r="Q26" s="41">
        <f t="shared" si="7"/>
        <v>49107.407960185614</v>
      </c>
      <c r="R26" s="41">
        <f t="shared" si="7"/>
        <v>48418.292140821213</v>
      </c>
      <c r="S26" s="41">
        <f t="shared" si="7"/>
        <v>52128.513913366318</v>
      </c>
      <c r="T26" s="41">
        <f t="shared" si="7"/>
        <v>56083.014595833149</v>
      </c>
      <c r="U26" s="41">
        <f t="shared" si="7"/>
        <v>59172.172409128187</v>
      </c>
      <c r="V26" s="41">
        <f t="shared" si="7"/>
        <v>64239.528931342138</v>
      </c>
      <c r="W26" s="41">
        <f t="shared" si="7"/>
        <v>69362.899080255855</v>
      </c>
      <c r="X26" s="41">
        <f t="shared" si="7"/>
        <v>72507.840219862308</v>
      </c>
      <c r="Y26" s="41">
        <f t="shared" si="7"/>
        <v>76705.942730762647</v>
      </c>
      <c r="Z26" s="41">
        <f t="shared" si="7"/>
        <v>81020.937212621648</v>
      </c>
      <c r="AA26" s="41">
        <f t="shared" si="7"/>
        <v>84134.079562430081</v>
      </c>
      <c r="AB26" s="41">
        <f t="shared" si="7"/>
        <v>87128.568144008896</v>
      </c>
      <c r="AC26" s="41">
        <f t="shared" si="7"/>
        <v>91669.396033652447</v>
      </c>
      <c r="AD26" s="41">
        <f t="shared" si="7"/>
        <v>96271.539274232899</v>
      </c>
      <c r="AE26" s="41">
        <f t="shared" si="7"/>
        <v>100622.1098716768</v>
      </c>
      <c r="AF26" s="41">
        <f t="shared" si="7"/>
        <v>105913.60147014757</v>
      </c>
      <c r="AG26" s="41">
        <f t="shared" si="7"/>
        <v>111832.66111909042</v>
      </c>
      <c r="AH26" s="41">
        <f>AH22+AH23</f>
        <v>110721.75393780402</v>
      </c>
      <c r="AI26" s="41">
        <f>AI22+AI23</f>
        <v>114314.35032313073</v>
      </c>
      <c r="AJ26" s="41">
        <f>AJ22+AJ23</f>
        <v>118379.82094470035</v>
      </c>
      <c r="AK26" s="41">
        <f>AK22+AK23</f>
        <v>120724.75970340703</v>
      </c>
      <c r="AL26" s="41">
        <f>AL22+AL23</f>
        <v>114738.54485305442</v>
      </c>
    </row>
    <row r="27" spans="2:38" ht="24.95" customHeight="1">
      <c r="B27" s="34" t="s">
        <v>89</v>
      </c>
      <c r="C27" s="41">
        <f t="shared" si="0"/>
        <v>720853.34506084945</v>
      </c>
      <c r="D27" s="41">
        <f>-SUM(D35:D37)</f>
        <v>-5114.7348909867724</v>
      </c>
      <c r="E27" s="41">
        <f t="shared" ref="E27:AL27" si="8">-SUM(E35:E37)</f>
        <v>-10431.398462339641</v>
      </c>
      <c r="F27" s="41">
        <f t="shared" si="8"/>
        <v>-285.6630958360505</v>
      </c>
      <c r="G27" s="41">
        <f t="shared" si="8"/>
        <v>3122.960181309134</v>
      </c>
      <c r="H27" s="41">
        <f t="shared" si="8"/>
        <v>5027.8802242645088</v>
      </c>
      <c r="I27" s="41">
        <f t="shared" si="8"/>
        <v>6511.9399186120136</v>
      </c>
      <c r="J27" s="41">
        <f t="shared" si="8"/>
        <v>7517.0551141986598</v>
      </c>
      <c r="K27" s="41">
        <f t="shared" si="8"/>
        <v>8861.1864556955952</v>
      </c>
      <c r="L27" s="41">
        <f t="shared" si="8"/>
        <v>10093.377852283884</v>
      </c>
      <c r="M27" s="41">
        <f t="shared" si="8"/>
        <v>11594.819137955667</v>
      </c>
      <c r="N27" s="41">
        <f t="shared" si="8"/>
        <v>12985.031185013457</v>
      </c>
      <c r="O27" s="41">
        <f t="shared" si="8"/>
        <v>14310.372487273053</v>
      </c>
      <c r="P27" s="41">
        <f t="shared" si="8"/>
        <v>15693.289246690934</v>
      </c>
      <c r="Q27" s="41">
        <f t="shared" si="8"/>
        <v>16696.518706463114</v>
      </c>
      <c r="R27" s="41">
        <f t="shared" si="8"/>
        <v>16462.219327879218</v>
      </c>
      <c r="S27" s="41">
        <f t="shared" si="8"/>
        <v>17723.69473054455</v>
      </c>
      <c r="T27" s="41">
        <f t="shared" si="8"/>
        <v>19068.22496258327</v>
      </c>
      <c r="U27" s="41">
        <f t="shared" si="8"/>
        <v>20118.538619103583</v>
      </c>
      <c r="V27" s="41">
        <f t="shared" si="8"/>
        <v>21841.439836656329</v>
      </c>
      <c r="W27" s="41">
        <f t="shared" si="8"/>
        <v>23583.385687286991</v>
      </c>
      <c r="X27" s="41">
        <f t="shared" si="8"/>
        <v>24652.665674753185</v>
      </c>
      <c r="Y27" s="41">
        <f t="shared" si="8"/>
        <v>26080.020528459299</v>
      </c>
      <c r="Z27" s="41">
        <f t="shared" si="8"/>
        <v>27547.118652291359</v>
      </c>
      <c r="AA27" s="41">
        <f t="shared" si="8"/>
        <v>28605.587051226226</v>
      </c>
      <c r="AB27" s="41">
        <f t="shared" si="8"/>
        <v>29623.713168963026</v>
      </c>
      <c r="AC27" s="41">
        <f t="shared" si="8"/>
        <v>31167.594651441839</v>
      </c>
      <c r="AD27" s="41">
        <f t="shared" si="8"/>
        <v>32732.323353239186</v>
      </c>
      <c r="AE27" s="41">
        <f t="shared" si="8"/>
        <v>34211.517356370117</v>
      </c>
      <c r="AF27" s="41">
        <f t="shared" si="8"/>
        <v>36010.624499850172</v>
      </c>
      <c r="AG27" s="41">
        <f t="shared" si="8"/>
        <v>38023.104780490743</v>
      </c>
      <c r="AH27" s="41">
        <f t="shared" si="8"/>
        <v>37645.396338853374</v>
      </c>
      <c r="AI27" s="41">
        <f t="shared" si="8"/>
        <v>38866.879109864451</v>
      </c>
      <c r="AJ27" s="41">
        <f t="shared" si="8"/>
        <v>40249.139121198124</v>
      </c>
      <c r="AK27" s="41">
        <f t="shared" si="8"/>
        <v>41046.418299158395</v>
      </c>
      <c r="AL27" s="41">
        <f t="shared" si="8"/>
        <v>39011.105250038512</v>
      </c>
    </row>
    <row r="28" spans="2:38" ht="24.95" customHeight="1">
      <c r="B28" s="34" t="s">
        <v>90</v>
      </c>
      <c r="C28" s="41">
        <f t="shared" si="0"/>
        <v>1399303.5521769433</v>
      </c>
      <c r="D28" s="41">
        <f>D26-D27</f>
        <v>-9928.6030236802035</v>
      </c>
      <c r="E28" s="41">
        <f t="shared" ref="E28:AG28" si="9">E26-E27</f>
        <v>-20249.185250424009</v>
      </c>
      <c r="F28" s="41">
        <f t="shared" si="9"/>
        <v>-554.5224801523342</v>
      </c>
      <c r="G28" s="41">
        <f t="shared" si="9"/>
        <v>6062.2168225412588</v>
      </c>
      <c r="H28" s="41">
        <f t="shared" si="9"/>
        <v>9760.0027882781596</v>
      </c>
      <c r="I28" s="41">
        <f t="shared" si="9"/>
        <v>12640.82454789391</v>
      </c>
      <c r="J28" s="41">
        <f t="shared" si="9"/>
        <v>14591.930515797399</v>
      </c>
      <c r="K28" s="41">
        <f t="shared" si="9"/>
        <v>17201.126649291447</v>
      </c>
      <c r="L28" s="41">
        <f t="shared" si="9"/>
        <v>19593.027595609889</v>
      </c>
      <c r="M28" s="41">
        <f t="shared" si="9"/>
        <v>22507.590091325706</v>
      </c>
      <c r="N28" s="41">
        <f t="shared" si="9"/>
        <v>25206.237006202591</v>
      </c>
      <c r="O28" s="41">
        <f t="shared" si="9"/>
        <v>27778.958357647687</v>
      </c>
      <c r="P28" s="41">
        <f t="shared" si="9"/>
        <v>30463.443831811805</v>
      </c>
      <c r="Q28" s="41">
        <f t="shared" si="9"/>
        <v>32410.8892537225</v>
      </c>
      <c r="R28" s="41">
        <f t="shared" si="9"/>
        <v>31956.072812941995</v>
      </c>
      <c r="S28" s="41">
        <f t="shared" si="9"/>
        <v>34404.819182821768</v>
      </c>
      <c r="T28" s="41">
        <f t="shared" si="9"/>
        <v>37014.789633249879</v>
      </c>
      <c r="U28" s="41">
        <f t="shared" si="9"/>
        <v>39053.6337900246</v>
      </c>
      <c r="V28" s="41">
        <f t="shared" si="9"/>
        <v>42398.089094685813</v>
      </c>
      <c r="W28" s="41">
        <f t="shared" si="9"/>
        <v>45779.51339296886</v>
      </c>
      <c r="X28" s="41">
        <f t="shared" si="9"/>
        <v>47855.174545109126</v>
      </c>
      <c r="Y28" s="41">
        <f t="shared" si="9"/>
        <v>50625.922202303351</v>
      </c>
      <c r="Z28" s="41">
        <f t="shared" si="9"/>
        <v>53473.818560330285</v>
      </c>
      <c r="AA28" s="41">
        <f t="shared" si="9"/>
        <v>55528.492511203855</v>
      </c>
      <c r="AB28" s="41">
        <f t="shared" si="9"/>
        <v>57504.85497504587</v>
      </c>
      <c r="AC28" s="41">
        <f t="shared" si="9"/>
        <v>60501.801382210608</v>
      </c>
      <c r="AD28" s="41">
        <f t="shared" si="9"/>
        <v>63539.215920993709</v>
      </c>
      <c r="AE28" s="41">
        <f t="shared" si="9"/>
        <v>66410.592515306693</v>
      </c>
      <c r="AF28" s="41">
        <f t="shared" si="9"/>
        <v>69902.976970297401</v>
      </c>
      <c r="AG28" s="41">
        <f t="shared" si="9"/>
        <v>73809.556338599679</v>
      </c>
      <c r="AH28" s="41">
        <f>AH26-AH27</f>
        <v>73076.35759895065</v>
      </c>
      <c r="AI28" s="41">
        <f>AI26-AI27</f>
        <v>75447.471213266283</v>
      </c>
      <c r="AJ28" s="41">
        <f>AJ26-AJ27</f>
        <v>78130.681823502222</v>
      </c>
      <c r="AK28" s="41">
        <f>AK26-AK27</f>
        <v>79678.34140424864</v>
      </c>
      <c r="AL28" s="41">
        <f>AL26-AL27</f>
        <v>75727.439603015911</v>
      </c>
    </row>
    <row r="29" spans="2:38">
      <c r="D29" s="96">
        <f t="shared" ref="D29:AL29" si="10">-D27/D26</f>
        <v>-0.34</v>
      </c>
      <c r="E29" s="96">
        <f t="shared" si="10"/>
        <v>-0.34</v>
      </c>
      <c r="F29" s="96">
        <f t="shared" si="10"/>
        <v>-0.33999999999999964</v>
      </c>
      <c r="G29" s="96">
        <f t="shared" si="10"/>
        <v>-0.34</v>
      </c>
      <c r="H29" s="96">
        <f t="shared" si="10"/>
        <v>-0.34000000000000008</v>
      </c>
      <c r="I29" s="96">
        <f t="shared" si="10"/>
        <v>-0.33999999999999997</v>
      </c>
      <c r="J29" s="96">
        <f t="shared" si="10"/>
        <v>-0.33999999999999997</v>
      </c>
      <c r="K29" s="96">
        <f t="shared" si="10"/>
        <v>-0.34</v>
      </c>
      <c r="L29" s="96">
        <f t="shared" si="10"/>
        <v>-0.34</v>
      </c>
      <c r="M29" s="96">
        <f t="shared" si="10"/>
        <v>-0.33999999999999997</v>
      </c>
      <c r="N29" s="96">
        <f t="shared" si="10"/>
        <v>-0.34</v>
      </c>
      <c r="O29" s="96">
        <f t="shared" si="10"/>
        <v>-0.34</v>
      </c>
      <c r="P29" s="96">
        <f t="shared" si="10"/>
        <v>-0.34000000000000008</v>
      </c>
      <c r="Q29" s="96">
        <f t="shared" si="10"/>
        <v>-0.34000000000000008</v>
      </c>
      <c r="R29" s="96">
        <f t="shared" si="10"/>
        <v>-0.34000000000000014</v>
      </c>
      <c r="S29" s="96">
        <f t="shared" si="10"/>
        <v>-0.34</v>
      </c>
      <c r="T29" s="96">
        <f t="shared" si="10"/>
        <v>-0.33999999999999997</v>
      </c>
      <c r="U29" s="96">
        <f t="shared" si="10"/>
        <v>-0.33999999999999997</v>
      </c>
      <c r="V29" s="96">
        <f t="shared" si="10"/>
        <v>-0.34</v>
      </c>
      <c r="W29" s="96">
        <f t="shared" si="10"/>
        <v>-0.34</v>
      </c>
      <c r="X29" s="96">
        <f t="shared" si="10"/>
        <v>-0.34</v>
      </c>
      <c r="Y29" s="96">
        <f t="shared" si="10"/>
        <v>-0.33999999999999997</v>
      </c>
      <c r="Z29" s="96">
        <f t="shared" si="10"/>
        <v>-0.33999999999999997</v>
      </c>
      <c r="AA29" s="96">
        <f t="shared" si="10"/>
        <v>-0.33999999999999997</v>
      </c>
      <c r="AB29" s="96">
        <f t="shared" si="10"/>
        <v>-0.34</v>
      </c>
      <c r="AC29" s="96">
        <f t="shared" si="10"/>
        <v>-0.34000000000000008</v>
      </c>
      <c r="AD29" s="96">
        <f t="shared" si="10"/>
        <v>-0.34</v>
      </c>
      <c r="AE29" s="96">
        <f t="shared" si="10"/>
        <v>-0.34</v>
      </c>
      <c r="AF29" s="96">
        <f t="shared" si="10"/>
        <v>-0.33999999999999997</v>
      </c>
      <c r="AG29" s="96">
        <f t="shared" si="10"/>
        <v>-0.33999999999999997</v>
      </c>
      <c r="AH29" s="96">
        <f t="shared" si="10"/>
        <v>-0.34000000000000008</v>
      </c>
      <c r="AI29" s="96">
        <f t="shared" si="10"/>
        <v>-0.34</v>
      </c>
      <c r="AJ29" s="96">
        <f t="shared" si="10"/>
        <v>-0.34000000000000008</v>
      </c>
      <c r="AK29" s="96">
        <f t="shared" si="10"/>
        <v>-0.34</v>
      </c>
      <c r="AL29" s="96">
        <f t="shared" si="10"/>
        <v>-0.34000000000000008</v>
      </c>
    </row>
    <row r="30" spans="2:38">
      <c r="E30" s="69"/>
    </row>
    <row r="31" spans="2:38">
      <c r="B31" s="24" t="s">
        <v>314</v>
      </c>
      <c r="C31" s="83"/>
      <c r="D31" s="82">
        <f>D26-D6+D21-SUM(QDF!E12:E15)+SUM(QDF!E4:E5)</f>
        <v>-15043.337914666976</v>
      </c>
      <c r="E31" s="82">
        <f>E26-E6+E21-SUM(QDF!F12:F15)+SUM(QDF!F4:F5)</f>
        <v>-30680.583712763648</v>
      </c>
      <c r="F31" s="82">
        <f>F26-F6+F21-SUM(QDF!G12:G15)+SUM(QDF!G4:G5)</f>
        <v>-840.18557598838379</v>
      </c>
      <c r="G31" s="82">
        <f>G26-G6+G21-SUM(QDF!H12:H15)+SUM(QDF!H4:H5)</f>
        <v>9185.1770038503928</v>
      </c>
      <c r="H31" s="82">
        <f>H26-H6+H21-SUM(QDF!I12:I15)+SUM(QDF!I4:I5)</f>
        <v>14787.88301254267</v>
      </c>
      <c r="I31" s="82">
        <f>I26-I6+I21-SUM(QDF!J12:J15)+SUM(QDF!J4:J5)</f>
        <v>19152.76446650592</v>
      </c>
      <c r="J31" s="82">
        <f>J26-J6+J21-SUM(QDF!K12:K15)+SUM(QDF!K4:K5)</f>
        <v>22108.985629996059</v>
      </c>
      <c r="K31" s="82">
        <f>K26-K6+K21-SUM(QDF!L12:L15)+SUM(QDF!L4:L5)</f>
        <v>26062.313104987039</v>
      </c>
      <c r="L31" s="82">
        <f>L26-L6+L21-SUM(QDF!M12:M15)+SUM(QDF!M4:M5)</f>
        <v>29686.405447893776</v>
      </c>
      <c r="M31" s="82">
        <f>M26-M6+M21-SUM(QDF!N12:N15)+SUM(QDF!N4:N5)</f>
        <v>34102.409229281373</v>
      </c>
      <c r="N31" s="82">
        <f>N26-N6+N21-SUM(QDF!O12:O15)+SUM(QDF!O4:O5)</f>
        <v>38191.268191216048</v>
      </c>
      <c r="O31" s="82">
        <f>O26-O6+O21-SUM(QDF!P12:P15)+SUM(QDF!P4:P5)</f>
        <v>42089.33084492074</v>
      </c>
      <c r="P31" s="82">
        <f>P26-P6+P21-SUM(QDF!Q12:Q15)+SUM(QDF!Q4:Q5)</f>
        <v>46156.733078502744</v>
      </c>
      <c r="Q31" s="82">
        <f>Q26-Q6+Q21-SUM(QDF!R12:R15)+SUM(QDF!R4:R5)</f>
        <v>49107.407960185621</v>
      </c>
      <c r="R31" s="82">
        <f>R26-R6+R21-SUM(QDF!S12:S15)+SUM(QDF!S4:S5)</f>
        <v>48343.587630846618</v>
      </c>
      <c r="S31" s="82">
        <f>S26-S6+S21-SUM(QDF!T12:T15)+SUM(QDF!T4:T5)</f>
        <v>52132.249138865052</v>
      </c>
      <c r="T31" s="82">
        <f>T26-T6+T21-SUM(QDF!U12:U15)+SUM(QDF!U4:U5)</f>
        <v>55835.185287567292</v>
      </c>
      <c r="U31" s="82">
        <f>U26-U6+U21-SUM(QDF!V12:V15)+SUM(QDF!V4:V5)</f>
        <v>59189.883442058279</v>
      </c>
      <c r="V31" s="82">
        <f>V26-V6+V21-SUM(QDF!W12:W15)+SUM(QDF!W4:W5)</f>
        <v>64257.239964272238</v>
      </c>
      <c r="W31" s="82">
        <f>W26-W6+W21-SUM(QDF!X12:X15)+SUM(QDF!X4:X5)</f>
        <v>69380.610113185947</v>
      </c>
      <c r="X31" s="82">
        <f>X26-X6+X21-SUM(QDF!Y12:Y15)+SUM(QDF!Y4:Y5)</f>
        <v>72525.5512527924</v>
      </c>
      <c r="Y31" s="82">
        <f>Y26-Y6+Y21-SUM(QDF!Z12:Z15)+SUM(QDF!Z4:Z5)</f>
        <v>76723.653763692739</v>
      </c>
      <c r="Z31" s="82">
        <f>Z26-Z6+Z21-SUM(QDF!AA12:AA15)+SUM(QDF!AA4:AA5)</f>
        <v>81038.64824555174</v>
      </c>
      <c r="AA31" s="82">
        <f>AA26-AA6+AA21-SUM(QDF!AB12:AB15)+SUM(QDF!AB4:AB5)</f>
        <v>84151.790595360173</v>
      </c>
      <c r="AB31" s="82">
        <f>AB26-AB6+AB21-SUM(QDF!AC12:AC15)+SUM(QDF!AC4:AC5)</f>
        <v>87146.279176938988</v>
      </c>
      <c r="AC31" s="82">
        <f>AC26-AC6+AC21-SUM(QDF!AD12:AD15)+SUM(QDF!AD4:AD5)</f>
        <v>91687.107066582554</v>
      </c>
      <c r="AD31" s="82">
        <f>AD26-AD6+AD21-SUM(QDF!AE12:AE15)+SUM(QDF!AE4:AE5)</f>
        <v>96289.250307162991</v>
      </c>
      <c r="AE31" s="82">
        <f>AE26-AE6+AE21-SUM(QDF!AF12:AF15)+SUM(QDF!AF4:AF5)</f>
        <v>100639.8209046069</v>
      </c>
      <c r="AF31" s="82">
        <f>AF26-AF6+AF21-SUM(QDF!AG12:AG15)+SUM(QDF!AG4:AG5)</f>
        <v>105931.31250307766</v>
      </c>
      <c r="AG31" s="82">
        <f>AG26-AG6+AG21-SUM(QDF!AH12:AH15)+SUM(QDF!AH4:AH5)</f>
        <v>111204.29727676278</v>
      </c>
      <c r="AH31" s="82">
        <f>AH26-AH6+AH21-SUM(QDF!AI12:AI15)+SUM(QDF!AI4:AI5)</f>
        <v>110868.67994578567</v>
      </c>
      <c r="AI31" s="82">
        <f>AI26-AI6+AI21-SUM(QDF!AJ12:AJ15)+SUM(QDF!AJ4:AJ5)</f>
        <v>114461.27633111237</v>
      </c>
      <c r="AJ31" s="82">
        <f>AJ26-AJ6+AJ21-SUM(QDF!AK12:AK15)+SUM(QDF!AK4:AK5)</f>
        <v>118526.74695268199</v>
      </c>
      <c r="AK31" s="82">
        <f>AK26-AK6+AK21-SUM(QDF!AL12:AL15)+SUM(QDF!AL4:AL5)</f>
        <v>120871.68571138867</v>
      </c>
      <c r="AL31" s="82">
        <f>AL26-AL6+AL21-SUM(QDF!AM12:AM15)+SUM(QDF!AM4:AM5)</f>
        <v>114885.47086103607</v>
      </c>
    </row>
    <row r="32" spans="2:38">
      <c r="B32" s="24" t="s">
        <v>315</v>
      </c>
      <c r="C32" s="83"/>
      <c r="D32" s="82">
        <f t="shared" ref="D32:AL32" si="11">IF(D31&lt;0,0,-MIN(IF(D39=0,0,D31*30%),D39/34%))</f>
        <v>0</v>
      </c>
      <c r="E32" s="82">
        <f t="shared" si="11"/>
        <v>0</v>
      </c>
      <c r="F32" s="82">
        <f t="shared" si="11"/>
        <v>0</v>
      </c>
      <c r="G32" s="82">
        <f t="shared" si="11"/>
        <v>-2755.5531011551179</v>
      </c>
      <c r="H32" s="82">
        <f t="shared" si="11"/>
        <v>-4436.3649037628011</v>
      </c>
      <c r="I32" s="82">
        <f t="shared" si="11"/>
        <v>-5745.8293399517761</v>
      </c>
      <c r="J32" s="82">
        <f t="shared" si="11"/>
        <v>-6632.6956889988178</v>
      </c>
      <c r="K32" s="82">
        <f t="shared" si="11"/>
        <v>-7818.693931496111</v>
      </c>
      <c r="L32" s="82">
        <f t="shared" si="11"/>
        <v>-8905.9216343681328</v>
      </c>
      <c r="M32" s="82">
        <f t="shared" si="11"/>
        <v>-10230.722768784412</v>
      </c>
      <c r="N32" s="82">
        <f t="shared" si="11"/>
        <v>-38.325834901843336</v>
      </c>
      <c r="O32" s="82">
        <f t="shared" si="11"/>
        <v>0</v>
      </c>
      <c r="P32" s="82">
        <f t="shared" si="11"/>
        <v>0</v>
      </c>
      <c r="Q32" s="82">
        <f t="shared" si="11"/>
        <v>0</v>
      </c>
      <c r="R32" s="82">
        <f t="shared" si="11"/>
        <v>0</v>
      </c>
      <c r="S32" s="82">
        <f t="shared" si="11"/>
        <v>0</v>
      </c>
      <c r="T32" s="82">
        <f t="shared" si="11"/>
        <v>0</v>
      </c>
      <c r="U32" s="82">
        <f t="shared" si="11"/>
        <v>0</v>
      </c>
      <c r="V32" s="82">
        <f t="shared" si="11"/>
        <v>0</v>
      </c>
      <c r="W32" s="82">
        <f t="shared" si="11"/>
        <v>0</v>
      </c>
      <c r="X32" s="82">
        <f t="shared" si="11"/>
        <v>0</v>
      </c>
      <c r="Y32" s="82">
        <f t="shared" si="11"/>
        <v>0</v>
      </c>
      <c r="Z32" s="82">
        <f t="shared" si="11"/>
        <v>0</v>
      </c>
      <c r="AA32" s="82">
        <f t="shared" si="11"/>
        <v>0</v>
      </c>
      <c r="AB32" s="82">
        <f t="shared" si="11"/>
        <v>0</v>
      </c>
      <c r="AC32" s="82">
        <f t="shared" si="11"/>
        <v>0</v>
      </c>
      <c r="AD32" s="82">
        <f t="shared" si="11"/>
        <v>0</v>
      </c>
      <c r="AE32" s="82">
        <f t="shared" si="11"/>
        <v>0</v>
      </c>
      <c r="AF32" s="82">
        <f t="shared" si="11"/>
        <v>0</v>
      </c>
      <c r="AG32" s="82">
        <f t="shared" si="11"/>
        <v>0</v>
      </c>
      <c r="AH32" s="82">
        <f t="shared" si="11"/>
        <v>0</v>
      </c>
      <c r="AI32" s="82">
        <f t="shared" si="11"/>
        <v>0</v>
      </c>
      <c r="AJ32" s="82">
        <f t="shared" si="11"/>
        <v>0</v>
      </c>
      <c r="AK32" s="82">
        <f t="shared" si="11"/>
        <v>0</v>
      </c>
      <c r="AL32" s="82">
        <f t="shared" si="11"/>
        <v>0</v>
      </c>
    </row>
    <row r="33" spans="2:38">
      <c r="B33" s="24" t="s">
        <v>316</v>
      </c>
      <c r="C33" s="83"/>
      <c r="D33" s="82">
        <f>D31+D32</f>
        <v>-15043.337914666976</v>
      </c>
      <c r="E33" s="82">
        <f t="shared" ref="E33:AL33" si="12">E31+E32</f>
        <v>-30680.583712763648</v>
      </c>
      <c r="F33" s="82">
        <f t="shared" si="12"/>
        <v>-840.18557598838379</v>
      </c>
      <c r="G33" s="82">
        <f t="shared" si="12"/>
        <v>6429.6239026952753</v>
      </c>
      <c r="H33" s="82">
        <f t="shared" si="12"/>
        <v>10351.51810877987</v>
      </c>
      <c r="I33" s="82">
        <f t="shared" si="12"/>
        <v>13406.935126554145</v>
      </c>
      <c r="J33" s="82">
        <f t="shared" si="12"/>
        <v>15476.289940997242</v>
      </c>
      <c r="K33" s="82">
        <f t="shared" si="12"/>
        <v>18243.61917349093</v>
      </c>
      <c r="L33" s="82">
        <f t="shared" si="12"/>
        <v>20780.483813525643</v>
      </c>
      <c r="M33" s="82">
        <f t="shared" si="12"/>
        <v>23871.68646049696</v>
      </c>
      <c r="N33" s="82">
        <f t="shared" si="12"/>
        <v>38152.942356314205</v>
      </c>
      <c r="O33" s="82">
        <f t="shared" si="12"/>
        <v>42089.33084492074</v>
      </c>
      <c r="P33" s="82">
        <f t="shared" si="12"/>
        <v>46156.733078502744</v>
      </c>
      <c r="Q33" s="82">
        <f t="shared" si="12"/>
        <v>49107.407960185621</v>
      </c>
      <c r="R33" s="82">
        <f t="shared" si="12"/>
        <v>48343.587630846618</v>
      </c>
      <c r="S33" s="82">
        <f t="shared" si="12"/>
        <v>52132.249138865052</v>
      </c>
      <c r="T33" s="82">
        <f t="shared" si="12"/>
        <v>55835.185287567292</v>
      </c>
      <c r="U33" s="82">
        <f t="shared" si="12"/>
        <v>59189.883442058279</v>
      </c>
      <c r="V33" s="82">
        <f t="shared" si="12"/>
        <v>64257.239964272238</v>
      </c>
      <c r="W33" s="82">
        <f t="shared" si="12"/>
        <v>69380.610113185947</v>
      </c>
      <c r="X33" s="82">
        <f t="shared" si="12"/>
        <v>72525.5512527924</v>
      </c>
      <c r="Y33" s="82">
        <f t="shared" si="12"/>
        <v>76723.653763692739</v>
      </c>
      <c r="Z33" s="82">
        <f t="shared" si="12"/>
        <v>81038.64824555174</v>
      </c>
      <c r="AA33" s="82">
        <f t="shared" si="12"/>
        <v>84151.790595360173</v>
      </c>
      <c r="AB33" s="82">
        <f t="shared" si="12"/>
        <v>87146.279176938988</v>
      </c>
      <c r="AC33" s="82">
        <f t="shared" si="12"/>
        <v>91687.107066582554</v>
      </c>
      <c r="AD33" s="82">
        <f t="shared" si="12"/>
        <v>96289.250307162991</v>
      </c>
      <c r="AE33" s="82">
        <f t="shared" si="12"/>
        <v>100639.8209046069</v>
      </c>
      <c r="AF33" s="82">
        <f t="shared" si="12"/>
        <v>105931.31250307766</v>
      </c>
      <c r="AG33" s="82">
        <f t="shared" si="12"/>
        <v>111204.29727676278</v>
      </c>
      <c r="AH33" s="82">
        <f t="shared" si="12"/>
        <v>110868.67994578567</v>
      </c>
      <c r="AI33" s="82">
        <f t="shared" si="12"/>
        <v>114461.27633111237</v>
      </c>
      <c r="AJ33" s="82">
        <f t="shared" si="12"/>
        <v>118526.74695268199</v>
      </c>
      <c r="AK33" s="82">
        <f t="shared" si="12"/>
        <v>120871.68571138867</v>
      </c>
      <c r="AL33" s="82">
        <f t="shared" si="12"/>
        <v>114885.47086103607</v>
      </c>
    </row>
    <row r="34" spans="2:38">
      <c r="D34" s="124"/>
      <c r="E34" s="124"/>
      <c r="F34" s="124"/>
      <c r="G34" s="124"/>
      <c r="H34" s="124"/>
      <c r="I34" s="124"/>
      <c r="J34" s="124"/>
      <c r="K34" s="124"/>
      <c r="L34" s="124"/>
      <c r="M34" s="124"/>
      <c r="N34" s="124"/>
      <c r="O34" s="124"/>
      <c r="P34" s="124"/>
      <c r="Q34" s="124"/>
      <c r="R34" s="124"/>
      <c r="S34" s="124"/>
      <c r="T34" s="124"/>
      <c r="U34" s="124"/>
      <c r="V34" s="124"/>
      <c r="W34" s="124"/>
      <c r="X34" s="124"/>
      <c r="Y34" s="124"/>
      <c r="Z34" s="124"/>
      <c r="AA34" s="124"/>
      <c r="AB34" s="124"/>
      <c r="AC34" s="124"/>
      <c r="AD34" s="124"/>
      <c r="AE34" s="124"/>
      <c r="AF34" s="124"/>
      <c r="AG34" s="124"/>
      <c r="AH34" s="124"/>
      <c r="AI34" s="124"/>
      <c r="AJ34" s="124"/>
      <c r="AK34" s="124"/>
      <c r="AL34" s="124"/>
    </row>
    <row r="35" spans="2:38">
      <c r="B35" s="24" t="s">
        <v>309</v>
      </c>
      <c r="C35" s="83"/>
      <c r="D35" s="82">
        <f t="shared" ref="D35:AL35" si="13">-IF(D33&lt;0,0,D33*34%)</f>
        <v>0</v>
      </c>
      <c r="E35" s="82">
        <f t="shared" si="13"/>
        <v>0</v>
      </c>
      <c r="F35" s="82">
        <f t="shared" si="13"/>
        <v>0</v>
      </c>
      <c r="G35" s="82">
        <f t="shared" si="13"/>
        <v>-2186.0721269163937</v>
      </c>
      <c r="H35" s="82">
        <f t="shared" si="13"/>
        <v>-3519.5161569851562</v>
      </c>
      <c r="I35" s="82">
        <f t="shared" si="13"/>
        <v>-4558.3579430284099</v>
      </c>
      <c r="J35" s="82">
        <f t="shared" si="13"/>
        <v>-5261.938579939062</v>
      </c>
      <c r="K35" s="82">
        <f t="shared" si="13"/>
        <v>-6202.830518986917</v>
      </c>
      <c r="L35" s="82">
        <f t="shared" si="13"/>
        <v>-7065.3644965987196</v>
      </c>
      <c r="M35" s="82">
        <f t="shared" si="13"/>
        <v>-8116.3733965689671</v>
      </c>
      <c r="N35" s="82">
        <f t="shared" si="13"/>
        <v>-12972.00040114683</v>
      </c>
      <c r="O35" s="82">
        <f t="shared" si="13"/>
        <v>-14310.372487273053</v>
      </c>
      <c r="P35" s="82">
        <f t="shared" si="13"/>
        <v>-15693.289246690934</v>
      </c>
      <c r="Q35" s="82">
        <f t="shared" si="13"/>
        <v>-16696.518706463114</v>
      </c>
      <c r="R35" s="82">
        <f t="shared" si="13"/>
        <v>-16436.819794487852</v>
      </c>
      <c r="S35" s="82">
        <f t="shared" si="13"/>
        <v>-17724.96470721412</v>
      </c>
      <c r="T35" s="82">
        <f t="shared" si="13"/>
        <v>-18983.96299777288</v>
      </c>
      <c r="U35" s="82">
        <f t="shared" si="13"/>
        <v>-20124.560370299816</v>
      </c>
      <c r="V35" s="82">
        <f t="shared" si="13"/>
        <v>-21847.461587852562</v>
      </c>
      <c r="W35" s="82">
        <f t="shared" si="13"/>
        <v>-23589.407438483224</v>
      </c>
      <c r="X35" s="82">
        <f t="shared" si="13"/>
        <v>-24658.687425949418</v>
      </c>
      <c r="Y35" s="82">
        <f t="shared" si="13"/>
        <v>-26086.042279655532</v>
      </c>
      <c r="Z35" s="82">
        <f t="shared" si="13"/>
        <v>-27553.140403487592</v>
      </c>
      <c r="AA35" s="82">
        <f t="shared" si="13"/>
        <v>-28611.608802422459</v>
      </c>
      <c r="AB35" s="82">
        <f t="shared" si="13"/>
        <v>-29629.734920159259</v>
      </c>
      <c r="AC35" s="82">
        <f t="shared" si="13"/>
        <v>-31173.616402638072</v>
      </c>
      <c r="AD35" s="82">
        <f t="shared" si="13"/>
        <v>-32738.345104435419</v>
      </c>
      <c r="AE35" s="82">
        <f t="shared" si="13"/>
        <v>-34217.53910756635</v>
      </c>
      <c r="AF35" s="82">
        <f t="shared" si="13"/>
        <v>-36016.646251046404</v>
      </c>
      <c r="AG35" s="82">
        <f t="shared" si="13"/>
        <v>-37809.461074099345</v>
      </c>
      <c r="AH35" s="82">
        <f t="shared" si="13"/>
        <v>-37695.35118156713</v>
      </c>
      <c r="AI35" s="82">
        <f t="shared" si="13"/>
        <v>-38916.833952578207</v>
      </c>
      <c r="AJ35" s="82">
        <f t="shared" si="13"/>
        <v>-40299.093963911881</v>
      </c>
      <c r="AK35" s="82">
        <f t="shared" si="13"/>
        <v>-41096.373141872151</v>
      </c>
      <c r="AL35" s="82">
        <f t="shared" si="13"/>
        <v>-39061.060092752268</v>
      </c>
    </row>
    <row r="36" spans="2:38">
      <c r="B36" s="24" t="s">
        <v>310</v>
      </c>
      <c r="C36" s="83"/>
      <c r="D36" s="82">
        <f>D40+D41</f>
        <v>5114.7348909867724</v>
      </c>
      <c r="E36" s="82">
        <f t="shared" ref="E36:AL36" si="14">E40+E41</f>
        <v>10431.398462339641</v>
      </c>
      <c r="F36" s="82">
        <f t="shared" si="14"/>
        <v>285.6630958360505</v>
      </c>
      <c r="G36" s="82">
        <f t="shared" si="14"/>
        <v>-936.88805439274017</v>
      </c>
      <c r="H36" s="82">
        <f t="shared" si="14"/>
        <v>-1508.3640672793524</v>
      </c>
      <c r="I36" s="82">
        <f t="shared" si="14"/>
        <v>-1953.5819755836039</v>
      </c>
      <c r="J36" s="82">
        <f t="shared" si="14"/>
        <v>-2255.1165342595982</v>
      </c>
      <c r="K36" s="82">
        <f t="shared" si="14"/>
        <v>-2658.3559367086777</v>
      </c>
      <c r="L36" s="82">
        <f t="shared" si="14"/>
        <v>-3028.0133556851652</v>
      </c>
      <c r="M36" s="82">
        <f t="shared" si="14"/>
        <v>-3478.4457413867003</v>
      </c>
      <c r="N36" s="82">
        <f t="shared" si="14"/>
        <v>-13.030783866626736</v>
      </c>
      <c r="O36" s="82">
        <f t="shared" si="14"/>
        <v>0</v>
      </c>
      <c r="P36" s="82">
        <f t="shared" si="14"/>
        <v>0</v>
      </c>
      <c r="Q36" s="82">
        <f t="shared" si="14"/>
        <v>0</v>
      </c>
      <c r="R36" s="82">
        <f t="shared" si="14"/>
        <v>0</v>
      </c>
      <c r="S36" s="82">
        <f t="shared" si="14"/>
        <v>0</v>
      </c>
      <c r="T36" s="82">
        <f t="shared" si="14"/>
        <v>0</v>
      </c>
      <c r="U36" s="82">
        <f t="shared" si="14"/>
        <v>0</v>
      </c>
      <c r="V36" s="82">
        <f t="shared" si="14"/>
        <v>0</v>
      </c>
      <c r="W36" s="82">
        <f t="shared" si="14"/>
        <v>0</v>
      </c>
      <c r="X36" s="82">
        <f t="shared" si="14"/>
        <v>0</v>
      </c>
      <c r="Y36" s="82">
        <f t="shared" si="14"/>
        <v>0</v>
      </c>
      <c r="Z36" s="82">
        <f t="shared" si="14"/>
        <v>0</v>
      </c>
      <c r="AA36" s="82">
        <f t="shared" si="14"/>
        <v>0</v>
      </c>
      <c r="AB36" s="82">
        <f t="shared" si="14"/>
        <v>0</v>
      </c>
      <c r="AC36" s="82">
        <f t="shared" si="14"/>
        <v>0</v>
      </c>
      <c r="AD36" s="82">
        <f t="shared" si="14"/>
        <v>0</v>
      </c>
      <c r="AE36" s="82">
        <f t="shared" si="14"/>
        <v>0</v>
      </c>
      <c r="AF36" s="82">
        <f t="shared" si="14"/>
        <v>0</v>
      </c>
      <c r="AG36" s="82">
        <f t="shared" si="14"/>
        <v>0</v>
      </c>
      <c r="AH36" s="82">
        <f t="shared" si="14"/>
        <v>0</v>
      </c>
      <c r="AI36" s="82">
        <f t="shared" si="14"/>
        <v>0</v>
      </c>
      <c r="AJ36" s="82">
        <f t="shared" si="14"/>
        <v>0</v>
      </c>
      <c r="AK36" s="82">
        <f t="shared" si="14"/>
        <v>0</v>
      </c>
      <c r="AL36" s="82">
        <f t="shared" si="14"/>
        <v>0</v>
      </c>
    </row>
    <row r="37" spans="2:38">
      <c r="B37" s="24" t="s">
        <v>311</v>
      </c>
      <c r="C37" s="83"/>
      <c r="D37" s="82">
        <f>(-D6+D21-SUM(QDF!E12:E15)+SUM(QDF!E4:E5))*34%</f>
        <v>0</v>
      </c>
      <c r="E37" s="82">
        <f>(-E6+E21-SUM(QDF!F12:F15)+SUM(QDF!F4:F5))*34%</f>
        <v>0</v>
      </c>
      <c r="F37" s="82">
        <f>(-F6+F21-SUM(QDF!G12:G15)+SUM(QDF!G4:G5))*34%</f>
        <v>0</v>
      </c>
      <c r="G37" s="82">
        <f>(-G6+G21-SUM(QDF!H12:H15)+SUM(QDF!H4:H5))*34%</f>
        <v>0</v>
      </c>
      <c r="H37" s="82">
        <f>(-H6+H21-SUM(QDF!I12:I15)+SUM(QDF!I4:I5))*34%</f>
        <v>0</v>
      </c>
      <c r="I37" s="82">
        <f>(-I6+I21-SUM(QDF!J12:J15)+SUM(QDF!J4:J5))*34%</f>
        <v>0</v>
      </c>
      <c r="J37" s="82">
        <f>(-J6+J21-SUM(QDF!K12:K15)+SUM(QDF!K4:K5))*34%</f>
        <v>0</v>
      </c>
      <c r="K37" s="82">
        <f>(-K6+K21-SUM(QDF!L12:L15)+SUM(QDF!L4:L5))*34%</f>
        <v>0</v>
      </c>
      <c r="L37" s="82">
        <f>(-L6+L21-SUM(QDF!M12:M15)+SUM(QDF!M4:M5))*34%</f>
        <v>0</v>
      </c>
      <c r="M37" s="82">
        <f>(-M6+M21-SUM(QDF!N12:N15)+SUM(QDF!N4:N5))*34%</f>
        <v>0</v>
      </c>
      <c r="N37" s="82">
        <f>(-N6+N21-SUM(QDF!O12:O15)+SUM(QDF!O4:O5))*34%</f>
        <v>0</v>
      </c>
      <c r="O37" s="82">
        <f>(-O6+O21-SUM(QDF!P12:P15)+SUM(QDF!P4:P5))*34%</f>
        <v>0</v>
      </c>
      <c r="P37" s="82">
        <f>(-P6+P21-SUM(QDF!Q12:Q15)+SUM(QDF!Q4:Q5))*34%</f>
        <v>0</v>
      </c>
      <c r="Q37" s="82">
        <f>(-Q6+Q21-SUM(QDF!R12:R15)+SUM(QDF!R4:R5))*34%</f>
        <v>0</v>
      </c>
      <c r="R37" s="82">
        <f>(-R6+R21-SUM(QDF!S12:S15)+SUM(QDF!S4:S5))*34%</f>
        <v>-25.399533391365587</v>
      </c>
      <c r="S37" s="82">
        <f>(-S6+S21-SUM(QDF!T12:T15)+SUM(QDF!T4:T5))*34%</f>
        <v>1.2699766695684958</v>
      </c>
      <c r="T37" s="82">
        <f>(-T6+T21-SUM(QDF!U12:U15)+SUM(QDF!U4:U5))*34%</f>
        <v>-84.261964810391532</v>
      </c>
      <c r="U37" s="82">
        <f>(-U6+U21-SUM(QDF!V12:V15)+SUM(QDF!V4:V5))*34%</f>
        <v>6.0217511962325814</v>
      </c>
      <c r="V37" s="82">
        <f>(-V6+V21-SUM(QDF!W12:W15)+SUM(QDF!W4:W5))*34%</f>
        <v>6.0217511962325814</v>
      </c>
      <c r="W37" s="82">
        <f>(-W6+W21-SUM(QDF!X12:X15)+SUM(QDF!X4:X5))*34%</f>
        <v>6.0217511962325814</v>
      </c>
      <c r="X37" s="82">
        <f>(-X6+X21-SUM(QDF!Y12:Y15)+SUM(QDF!Y4:Y5))*34%</f>
        <v>6.0217511962325814</v>
      </c>
      <c r="Y37" s="82">
        <f>(-Y6+Y21-SUM(QDF!Z12:Z15)+SUM(QDF!Z4:Z5))*34%</f>
        <v>6.0217511962325814</v>
      </c>
      <c r="Z37" s="82">
        <f>(-Z6+Z21-SUM(QDF!AA12:AA15)+SUM(QDF!AA4:AA5))*34%</f>
        <v>6.0217511962325814</v>
      </c>
      <c r="AA37" s="82">
        <f>(-AA6+AA21-SUM(QDF!AB12:AB15)+SUM(QDF!AB4:AB5))*34%</f>
        <v>6.0217511962325814</v>
      </c>
      <c r="AB37" s="82">
        <f>(-AB6+AB21-SUM(QDF!AC12:AC15)+SUM(QDF!AC4:AC5))*34%</f>
        <v>6.0217511962325814</v>
      </c>
      <c r="AC37" s="82">
        <f>(-AC6+AC21-SUM(QDF!AD12:AD15)+SUM(QDF!AD4:AD5))*34%</f>
        <v>6.0217511962325814</v>
      </c>
      <c r="AD37" s="82">
        <f>(-AD6+AD21-SUM(QDF!AE12:AE15)+SUM(QDF!AE4:AE5))*34%</f>
        <v>6.0217511962325814</v>
      </c>
      <c r="AE37" s="82">
        <f>(-AE6+AE21-SUM(QDF!AF12:AF15)+SUM(QDF!AF4:AF5))*34%</f>
        <v>6.0217511962325814</v>
      </c>
      <c r="AF37" s="82">
        <f>(-AF6+AF21-SUM(QDF!AG12:AG15)+SUM(QDF!AG4:AG5))*34%</f>
        <v>6.0217511962325814</v>
      </c>
      <c r="AG37" s="82">
        <f>(-AG6+AG21-SUM(QDF!AH12:AH15)+SUM(QDF!AH4:AH5))*34%</f>
        <v>-213.64370639139599</v>
      </c>
      <c r="AH37" s="82">
        <f>(-AH6+AH21-SUM(QDF!AI12:AI15)+SUM(QDF!AI4:AI5))*34%</f>
        <v>49.954842713758666</v>
      </c>
      <c r="AI37" s="82">
        <f>(-AI6+AI21-SUM(QDF!AJ12:AJ15)+SUM(QDF!AJ4:AJ5))*34%</f>
        <v>49.954842713758666</v>
      </c>
      <c r="AJ37" s="82">
        <f>(-AJ6+AJ21-SUM(QDF!AK12:AK15)+SUM(QDF!AK4:AK5))*34%</f>
        <v>49.954842713758666</v>
      </c>
      <c r="AK37" s="82">
        <f>(-AK6+AK21-SUM(QDF!AL12:AL15)+SUM(QDF!AL4:AL5))*34%</f>
        <v>49.954842713758666</v>
      </c>
      <c r="AL37" s="82">
        <f>(-AL6+AL21-SUM(QDF!AM12:AM15)+SUM(QDF!AM4:AM5))*34%</f>
        <v>49.954842713758048</v>
      </c>
    </row>
    <row r="38" spans="2:38">
      <c r="D38" s="124"/>
      <c r="E38" s="124"/>
      <c r="F38" s="124"/>
      <c r="G38" s="124"/>
      <c r="H38" s="124"/>
      <c r="I38" s="124"/>
      <c r="J38" s="124"/>
      <c r="K38" s="124"/>
      <c r="L38" s="124"/>
      <c r="M38" s="124"/>
      <c r="N38" s="124"/>
      <c r="O38" s="124"/>
      <c r="P38" s="124"/>
      <c r="Q38" s="124"/>
      <c r="R38" s="124"/>
      <c r="S38" s="124"/>
      <c r="T38" s="124"/>
      <c r="U38" s="124"/>
      <c r="V38" s="124"/>
      <c r="W38" s="124"/>
      <c r="X38" s="124"/>
      <c r="Y38" s="124"/>
      <c r="Z38" s="124"/>
      <c r="AA38" s="124"/>
      <c r="AB38" s="124"/>
      <c r="AC38" s="124"/>
      <c r="AD38" s="124"/>
      <c r="AE38" s="124"/>
      <c r="AF38" s="124"/>
      <c r="AG38" s="124"/>
      <c r="AH38" s="124"/>
      <c r="AI38" s="124"/>
      <c r="AJ38" s="124"/>
      <c r="AK38" s="124"/>
      <c r="AL38" s="124"/>
    </row>
    <row r="39" spans="2:38">
      <c r="B39" s="24" t="s">
        <v>310</v>
      </c>
      <c r="C39" s="83"/>
      <c r="D39" s="82">
        <v>0</v>
      </c>
      <c r="E39" s="82">
        <f>D42</f>
        <v>5114.7348909867724</v>
      </c>
      <c r="F39" s="82">
        <f>E42</f>
        <v>15546.133353326413</v>
      </c>
      <c r="G39" s="82">
        <f t="shared" ref="G39:AL39" si="15">F42</f>
        <v>15831.796449162464</v>
      </c>
      <c r="H39" s="82">
        <f t="shared" si="15"/>
        <v>14894.908394769724</v>
      </c>
      <c r="I39" s="82">
        <f t="shared" si="15"/>
        <v>13386.544327490372</v>
      </c>
      <c r="J39" s="82">
        <f t="shared" si="15"/>
        <v>11432.962351906768</v>
      </c>
      <c r="K39" s="82">
        <f t="shared" si="15"/>
        <v>9177.8458176471704</v>
      </c>
      <c r="L39" s="82">
        <f t="shared" si="15"/>
        <v>6519.4898809384922</v>
      </c>
      <c r="M39" s="82">
        <f t="shared" si="15"/>
        <v>3491.4765252533271</v>
      </c>
      <c r="N39" s="82">
        <f t="shared" si="15"/>
        <v>13.030783866626734</v>
      </c>
      <c r="O39" s="82">
        <f t="shared" si="15"/>
        <v>0</v>
      </c>
      <c r="P39" s="82">
        <f t="shared" si="15"/>
        <v>0</v>
      </c>
      <c r="Q39" s="82">
        <f t="shared" si="15"/>
        <v>0</v>
      </c>
      <c r="R39" s="82">
        <f t="shared" si="15"/>
        <v>0</v>
      </c>
      <c r="S39" s="82">
        <f t="shared" si="15"/>
        <v>0</v>
      </c>
      <c r="T39" s="82">
        <f t="shared" si="15"/>
        <v>0</v>
      </c>
      <c r="U39" s="82">
        <f t="shared" si="15"/>
        <v>0</v>
      </c>
      <c r="V39" s="82">
        <f t="shared" si="15"/>
        <v>0</v>
      </c>
      <c r="W39" s="82">
        <f t="shared" si="15"/>
        <v>0</v>
      </c>
      <c r="X39" s="82">
        <f t="shared" si="15"/>
        <v>0</v>
      </c>
      <c r="Y39" s="82">
        <f t="shared" si="15"/>
        <v>0</v>
      </c>
      <c r="Z39" s="82">
        <f t="shared" si="15"/>
        <v>0</v>
      </c>
      <c r="AA39" s="82">
        <f t="shared" si="15"/>
        <v>0</v>
      </c>
      <c r="AB39" s="82">
        <f t="shared" si="15"/>
        <v>0</v>
      </c>
      <c r="AC39" s="82">
        <f t="shared" si="15"/>
        <v>0</v>
      </c>
      <c r="AD39" s="82">
        <f t="shared" si="15"/>
        <v>0</v>
      </c>
      <c r="AE39" s="82">
        <f t="shared" si="15"/>
        <v>0</v>
      </c>
      <c r="AF39" s="82">
        <f t="shared" si="15"/>
        <v>0</v>
      </c>
      <c r="AG39" s="82">
        <f t="shared" si="15"/>
        <v>0</v>
      </c>
      <c r="AH39" s="82">
        <f t="shared" si="15"/>
        <v>0</v>
      </c>
      <c r="AI39" s="82">
        <f t="shared" si="15"/>
        <v>0</v>
      </c>
      <c r="AJ39" s="82">
        <f t="shared" si="15"/>
        <v>0</v>
      </c>
      <c r="AK39" s="82">
        <f t="shared" si="15"/>
        <v>0</v>
      </c>
      <c r="AL39" s="82">
        <f t="shared" si="15"/>
        <v>0</v>
      </c>
    </row>
    <row r="40" spans="2:38">
      <c r="B40" s="24" t="s">
        <v>312</v>
      </c>
      <c r="C40" s="83"/>
      <c r="D40" s="82">
        <f t="shared" ref="D40:AL40" si="16">IF(D33&lt;0,-D33*34%,0)</f>
        <v>5114.7348909867724</v>
      </c>
      <c r="E40" s="82">
        <f t="shared" si="16"/>
        <v>10431.398462339641</v>
      </c>
      <c r="F40" s="82">
        <f t="shared" si="16"/>
        <v>285.6630958360505</v>
      </c>
      <c r="G40" s="82">
        <f t="shared" si="16"/>
        <v>0</v>
      </c>
      <c r="H40" s="82">
        <f t="shared" si="16"/>
        <v>0</v>
      </c>
      <c r="I40" s="82">
        <f t="shared" si="16"/>
        <v>0</v>
      </c>
      <c r="J40" s="82">
        <f t="shared" si="16"/>
        <v>0</v>
      </c>
      <c r="K40" s="82">
        <f t="shared" si="16"/>
        <v>0</v>
      </c>
      <c r="L40" s="82">
        <f t="shared" si="16"/>
        <v>0</v>
      </c>
      <c r="M40" s="82">
        <f t="shared" si="16"/>
        <v>0</v>
      </c>
      <c r="N40" s="82">
        <f t="shared" si="16"/>
        <v>0</v>
      </c>
      <c r="O40" s="82">
        <f t="shared" si="16"/>
        <v>0</v>
      </c>
      <c r="P40" s="82">
        <f t="shared" si="16"/>
        <v>0</v>
      </c>
      <c r="Q40" s="82">
        <f t="shared" si="16"/>
        <v>0</v>
      </c>
      <c r="R40" s="82">
        <f t="shared" si="16"/>
        <v>0</v>
      </c>
      <c r="S40" s="82">
        <f t="shared" si="16"/>
        <v>0</v>
      </c>
      <c r="T40" s="82">
        <f t="shared" si="16"/>
        <v>0</v>
      </c>
      <c r="U40" s="82">
        <f t="shared" si="16"/>
        <v>0</v>
      </c>
      <c r="V40" s="82">
        <f t="shared" si="16"/>
        <v>0</v>
      </c>
      <c r="W40" s="82">
        <f t="shared" si="16"/>
        <v>0</v>
      </c>
      <c r="X40" s="82">
        <f t="shared" si="16"/>
        <v>0</v>
      </c>
      <c r="Y40" s="82">
        <f t="shared" si="16"/>
        <v>0</v>
      </c>
      <c r="Z40" s="82">
        <f t="shared" si="16"/>
        <v>0</v>
      </c>
      <c r="AA40" s="82">
        <f t="shared" si="16"/>
        <v>0</v>
      </c>
      <c r="AB40" s="82">
        <f t="shared" si="16"/>
        <v>0</v>
      </c>
      <c r="AC40" s="82">
        <f t="shared" si="16"/>
        <v>0</v>
      </c>
      <c r="AD40" s="82">
        <f t="shared" si="16"/>
        <v>0</v>
      </c>
      <c r="AE40" s="82">
        <f t="shared" si="16"/>
        <v>0</v>
      </c>
      <c r="AF40" s="82">
        <f t="shared" si="16"/>
        <v>0</v>
      </c>
      <c r="AG40" s="82">
        <f t="shared" si="16"/>
        <v>0</v>
      </c>
      <c r="AH40" s="82">
        <f t="shared" si="16"/>
        <v>0</v>
      </c>
      <c r="AI40" s="82">
        <f t="shared" si="16"/>
        <v>0</v>
      </c>
      <c r="AJ40" s="82">
        <f t="shared" si="16"/>
        <v>0</v>
      </c>
      <c r="AK40" s="82">
        <f t="shared" si="16"/>
        <v>0</v>
      </c>
      <c r="AL40" s="82">
        <f t="shared" si="16"/>
        <v>0</v>
      </c>
    </row>
    <row r="41" spans="2:38">
      <c r="B41" s="24" t="s">
        <v>313</v>
      </c>
      <c r="C41" s="83"/>
      <c r="D41" s="82">
        <f t="shared" ref="D41:AL41" si="17">D32*34%</f>
        <v>0</v>
      </c>
      <c r="E41" s="82">
        <f t="shared" si="17"/>
        <v>0</v>
      </c>
      <c r="F41" s="82">
        <f t="shared" si="17"/>
        <v>0</v>
      </c>
      <c r="G41" s="82">
        <f t="shared" si="17"/>
        <v>-936.88805439274017</v>
      </c>
      <c r="H41" s="82">
        <f t="shared" si="17"/>
        <v>-1508.3640672793524</v>
      </c>
      <c r="I41" s="82">
        <f t="shared" si="17"/>
        <v>-1953.5819755836039</v>
      </c>
      <c r="J41" s="82">
        <f t="shared" si="17"/>
        <v>-2255.1165342595982</v>
      </c>
      <c r="K41" s="82">
        <f t="shared" si="17"/>
        <v>-2658.3559367086777</v>
      </c>
      <c r="L41" s="82">
        <f t="shared" si="17"/>
        <v>-3028.0133556851652</v>
      </c>
      <c r="M41" s="82">
        <f t="shared" si="17"/>
        <v>-3478.4457413867003</v>
      </c>
      <c r="N41" s="82">
        <f t="shared" si="17"/>
        <v>-13.030783866626736</v>
      </c>
      <c r="O41" s="82">
        <f t="shared" si="17"/>
        <v>0</v>
      </c>
      <c r="P41" s="82">
        <f t="shared" si="17"/>
        <v>0</v>
      </c>
      <c r="Q41" s="82">
        <f t="shared" si="17"/>
        <v>0</v>
      </c>
      <c r="R41" s="82">
        <f t="shared" si="17"/>
        <v>0</v>
      </c>
      <c r="S41" s="82">
        <f t="shared" si="17"/>
        <v>0</v>
      </c>
      <c r="T41" s="82">
        <f t="shared" si="17"/>
        <v>0</v>
      </c>
      <c r="U41" s="82">
        <f t="shared" si="17"/>
        <v>0</v>
      </c>
      <c r="V41" s="82">
        <f t="shared" si="17"/>
        <v>0</v>
      </c>
      <c r="W41" s="82">
        <f t="shared" si="17"/>
        <v>0</v>
      </c>
      <c r="X41" s="82">
        <f t="shared" si="17"/>
        <v>0</v>
      </c>
      <c r="Y41" s="82">
        <f t="shared" si="17"/>
        <v>0</v>
      </c>
      <c r="Z41" s="82">
        <f t="shared" si="17"/>
        <v>0</v>
      </c>
      <c r="AA41" s="82">
        <f t="shared" si="17"/>
        <v>0</v>
      </c>
      <c r="AB41" s="82">
        <f t="shared" si="17"/>
        <v>0</v>
      </c>
      <c r="AC41" s="82">
        <f t="shared" si="17"/>
        <v>0</v>
      </c>
      <c r="AD41" s="82">
        <f t="shared" si="17"/>
        <v>0</v>
      </c>
      <c r="AE41" s="82">
        <f t="shared" si="17"/>
        <v>0</v>
      </c>
      <c r="AF41" s="82">
        <f t="shared" si="17"/>
        <v>0</v>
      </c>
      <c r="AG41" s="82">
        <f t="shared" si="17"/>
        <v>0</v>
      </c>
      <c r="AH41" s="82">
        <f t="shared" si="17"/>
        <v>0</v>
      </c>
      <c r="AI41" s="82">
        <f t="shared" si="17"/>
        <v>0</v>
      </c>
      <c r="AJ41" s="82">
        <f t="shared" si="17"/>
        <v>0</v>
      </c>
      <c r="AK41" s="82">
        <f t="shared" si="17"/>
        <v>0</v>
      </c>
      <c r="AL41" s="82">
        <f t="shared" si="17"/>
        <v>0</v>
      </c>
    </row>
    <row r="42" spans="2:38">
      <c r="B42" s="24" t="s">
        <v>304</v>
      </c>
      <c r="C42" s="83"/>
      <c r="D42" s="82">
        <f>SUM(D39:D41)</f>
        <v>5114.7348909867724</v>
      </c>
      <c r="E42" s="82">
        <f>SUM(E39:E41)</f>
        <v>15546.133353326413</v>
      </c>
      <c r="F42" s="82">
        <f>SUM(F39:F41)</f>
        <v>15831.796449162464</v>
      </c>
      <c r="G42" s="82">
        <f t="shared" ref="G42:AL42" si="18">SUM(G39:G41)</f>
        <v>14894.908394769724</v>
      </c>
      <c r="H42" s="82">
        <f t="shared" si="18"/>
        <v>13386.544327490372</v>
      </c>
      <c r="I42" s="82">
        <f t="shared" si="18"/>
        <v>11432.962351906768</v>
      </c>
      <c r="J42" s="82">
        <f t="shared" si="18"/>
        <v>9177.8458176471704</v>
      </c>
      <c r="K42" s="82">
        <f t="shared" si="18"/>
        <v>6519.4898809384922</v>
      </c>
      <c r="L42" s="82">
        <f t="shared" si="18"/>
        <v>3491.4765252533271</v>
      </c>
      <c r="M42" s="82">
        <f t="shared" si="18"/>
        <v>13.030783866626734</v>
      </c>
      <c r="N42" s="82">
        <f t="shared" si="18"/>
        <v>0</v>
      </c>
      <c r="O42" s="82">
        <f t="shared" si="18"/>
        <v>0</v>
      </c>
      <c r="P42" s="82">
        <f t="shared" si="18"/>
        <v>0</v>
      </c>
      <c r="Q42" s="82">
        <f t="shared" si="18"/>
        <v>0</v>
      </c>
      <c r="R42" s="82">
        <f t="shared" si="18"/>
        <v>0</v>
      </c>
      <c r="S42" s="82">
        <f t="shared" si="18"/>
        <v>0</v>
      </c>
      <c r="T42" s="82">
        <f t="shared" si="18"/>
        <v>0</v>
      </c>
      <c r="U42" s="82">
        <f t="shared" si="18"/>
        <v>0</v>
      </c>
      <c r="V42" s="82">
        <f t="shared" si="18"/>
        <v>0</v>
      </c>
      <c r="W42" s="82">
        <f t="shared" si="18"/>
        <v>0</v>
      </c>
      <c r="X42" s="82">
        <f t="shared" si="18"/>
        <v>0</v>
      </c>
      <c r="Y42" s="82">
        <f t="shared" si="18"/>
        <v>0</v>
      </c>
      <c r="Z42" s="82">
        <f t="shared" si="18"/>
        <v>0</v>
      </c>
      <c r="AA42" s="82">
        <f t="shared" si="18"/>
        <v>0</v>
      </c>
      <c r="AB42" s="82">
        <f t="shared" si="18"/>
        <v>0</v>
      </c>
      <c r="AC42" s="82">
        <f t="shared" si="18"/>
        <v>0</v>
      </c>
      <c r="AD42" s="82">
        <f t="shared" si="18"/>
        <v>0</v>
      </c>
      <c r="AE42" s="82">
        <f t="shared" si="18"/>
        <v>0</v>
      </c>
      <c r="AF42" s="82">
        <f t="shared" si="18"/>
        <v>0</v>
      </c>
      <c r="AG42" s="82">
        <f t="shared" si="18"/>
        <v>0</v>
      </c>
      <c r="AH42" s="82">
        <f t="shared" si="18"/>
        <v>0</v>
      </c>
      <c r="AI42" s="82">
        <f t="shared" si="18"/>
        <v>0</v>
      </c>
      <c r="AJ42" s="82">
        <f t="shared" si="18"/>
        <v>0</v>
      </c>
      <c r="AK42" s="82">
        <f t="shared" si="18"/>
        <v>0</v>
      </c>
      <c r="AL42" s="82">
        <f t="shared" si="18"/>
        <v>0</v>
      </c>
    </row>
    <row r="44" spans="2:38">
      <c r="B44" s="24" t="s">
        <v>352</v>
      </c>
      <c r="C44" s="83"/>
      <c r="D44" s="82">
        <f>D35/34%*25%</f>
        <v>0</v>
      </c>
      <c r="E44" s="82">
        <f>E35/34%*25%</f>
        <v>0</v>
      </c>
      <c r="F44" s="82">
        <f t="shared" ref="F44:AL44" si="19">F35/34%*25%</f>
        <v>0</v>
      </c>
      <c r="G44" s="82">
        <f t="shared" si="19"/>
        <v>-1607.4059756738188</v>
      </c>
      <c r="H44" s="82">
        <f t="shared" si="19"/>
        <v>-2587.8795271949675</v>
      </c>
      <c r="I44" s="82">
        <f t="shared" si="19"/>
        <v>-3351.7337816385366</v>
      </c>
      <c r="J44" s="82">
        <f t="shared" si="19"/>
        <v>-3869.0724852493099</v>
      </c>
      <c r="K44" s="82">
        <f t="shared" si="19"/>
        <v>-4560.9047933727325</v>
      </c>
      <c r="L44" s="82">
        <f t="shared" si="19"/>
        <v>-5195.1209533814108</v>
      </c>
      <c r="M44" s="82">
        <f t="shared" si="19"/>
        <v>-5967.9216151242399</v>
      </c>
      <c r="N44" s="82">
        <f t="shared" si="19"/>
        <v>-9538.2355890785511</v>
      </c>
      <c r="O44" s="82">
        <f t="shared" si="19"/>
        <v>-10522.332711230185</v>
      </c>
      <c r="P44" s="82">
        <f t="shared" si="19"/>
        <v>-11539.183269625686</v>
      </c>
      <c r="Q44" s="82">
        <f t="shared" si="19"/>
        <v>-12276.851990046407</v>
      </c>
      <c r="R44" s="82">
        <f t="shared" si="19"/>
        <v>-12085.896907711654</v>
      </c>
      <c r="S44" s="82">
        <f t="shared" si="19"/>
        <v>-13033.062284716263</v>
      </c>
      <c r="T44" s="82">
        <f t="shared" si="19"/>
        <v>-13958.796321891823</v>
      </c>
      <c r="U44" s="82">
        <f t="shared" si="19"/>
        <v>-14797.47086051457</v>
      </c>
      <c r="V44" s="82">
        <f t="shared" si="19"/>
        <v>-16064.309991068059</v>
      </c>
      <c r="W44" s="82">
        <f t="shared" si="19"/>
        <v>-17345.152528296487</v>
      </c>
      <c r="X44" s="82">
        <f t="shared" si="19"/>
        <v>-18131.3878131981</v>
      </c>
      <c r="Y44" s="82">
        <f t="shared" si="19"/>
        <v>-19180.913440923185</v>
      </c>
      <c r="Z44" s="82">
        <f t="shared" si="19"/>
        <v>-20259.662061387935</v>
      </c>
      <c r="AA44" s="82">
        <f t="shared" si="19"/>
        <v>-21037.947648840043</v>
      </c>
      <c r="AB44" s="82">
        <f t="shared" si="19"/>
        <v>-21786.569794234747</v>
      </c>
      <c r="AC44" s="82">
        <f t="shared" si="19"/>
        <v>-22921.776766645638</v>
      </c>
      <c r="AD44" s="82">
        <f t="shared" si="19"/>
        <v>-24072.312576790748</v>
      </c>
      <c r="AE44" s="82">
        <f t="shared" si="19"/>
        <v>-25159.955226151727</v>
      </c>
      <c r="AF44" s="82">
        <f t="shared" si="19"/>
        <v>-26482.828125769414</v>
      </c>
      <c r="AG44" s="82">
        <f t="shared" si="19"/>
        <v>-27801.074319190691</v>
      </c>
      <c r="AH44" s="82">
        <f t="shared" si="19"/>
        <v>-27717.169986446417</v>
      </c>
      <c r="AI44" s="82">
        <f t="shared" si="19"/>
        <v>-28615.319082778093</v>
      </c>
      <c r="AJ44" s="82">
        <f t="shared" si="19"/>
        <v>-29631.686738170498</v>
      </c>
      <c r="AK44" s="82">
        <f t="shared" si="19"/>
        <v>-30217.921427847166</v>
      </c>
      <c r="AL44" s="82">
        <f t="shared" si="19"/>
        <v>-28721.367715259017</v>
      </c>
    </row>
    <row r="45" spans="2:38">
      <c r="B45" s="24" t="s">
        <v>353</v>
      </c>
      <c r="C45" s="83"/>
      <c r="D45" s="82">
        <f>D35/34%*9%</f>
        <v>0</v>
      </c>
      <c r="E45" s="82">
        <f>E35/34%*9%</f>
        <v>0</v>
      </c>
      <c r="F45" s="82">
        <f t="shared" ref="F45:AL45" si="20">F35/34%*9%</f>
        <v>0</v>
      </c>
      <c r="G45" s="82">
        <f t="shared" si="20"/>
        <v>-578.66615124257476</v>
      </c>
      <c r="H45" s="82">
        <f t="shared" si="20"/>
        <v>-931.63662979018829</v>
      </c>
      <c r="I45" s="82">
        <f t="shared" si="20"/>
        <v>-1206.6241613898731</v>
      </c>
      <c r="J45" s="82">
        <f t="shared" si="20"/>
        <v>-1392.8660946897514</v>
      </c>
      <c r="K45" s="82">
        <f t="shared" si="20"/>
        <v>-1641.9257256141836</v>
      </c>
      <c r="L45" s="82">
        <f t="shared" si="20"/>
        <v>-1870.2435432173079</v>
      </c>
      <c r="M45" s="82">
        <f t="shared" si="20"/>
        <v>-2148.4517814447263</v>
      </c>
      <c r="N45" s="82">
        <f t="shared" si="20"/>
        <v>-3433.7648120682784</v>
      </c>
      <c r="O45" s="82">
        <f t="shared" si="20"/>
        <v>-3788.0397760428664</v>
      </c>
      <c r="P45" s="82">
        <f t="shared" si="20"/>
        <v>-4154.1059770652464</v>
      </c>
      <c r="Q45" s="82">
        <f t="shared" si="20"/>
        <v>-4419.6667164167065</v>
      </c>
      <c r="R45" s="82">
        <f t="shared" si="20"/>
        <v>-4350.9228867761958</v>
      </c>
      <c r="S45" s="82">
        <f t="shared" si="20"/>
        <v>-4691.9024224978548</v>
      </c>
      <c r="T45" s="82">
        <f t="shared" si="20"/>
        <v>-5025.1666758810561</v>
      </c>
      <c r="U45" s="82">
        <f t="shared" si="20"/>
        <v>-5327.0895097852454</v>
      </c>
      <c r="V45" s="82">
        <f t="shared" si="20"/>
        <v>-5783.1515967845007</v>
      </c>
      <c r="W45" s="82">
        <f t="shared" si="20"/>
        <v>-6244.2549101867353</v>
      </c>
      <c r="X45" s="82">
        <f t="shared" si="20"/>
        <v>-6527.2996127513161</v>
      </c>
      <c r="Y45" s="82">
        <f t="shared" si="20"/>
        <v>-6905.1288387323466</v>
      </c>
      <c r="Z45" s="82">
        <f t="shared" si="20"/>
        <v>-7293.4783420996564</v>
      </c>
      <c r="AA45" s="82">
        <f t="shared" si="20"/>
        <v>-7573.661153582415</v>
      </c>
      <c r="AB45" s="82">
        <f t="shared" si="20"/>
        <v>-7843.1651259245082</v>
      </c>
      <c r="AC45" s="82">
        <f t="shared" si="20"/>
        <v>-8251.83963599243</v>
      </c>
      <c r="AD45" s="82">
        <f t="shared" si="20"/>
        <v>-8666.0325276446692</v>
      </c>
      <c r="AE45" s="82">
        <f t="shared" si="20"/>
        <v>-9057.5838814146209</v>
      </c>
      <c r="AF45" s="82">
        <f t="shared" si="20"/>
        <v>-9533.8181252769882</v>
      </c>
      <c r="AG45" s="82">
        <f t="shared" si="20"/>
        <v>-10008.386754908648</v>
      </c>
      <c r="AH45" s="82">
        <f t="shared" si="20"/>
        <v>-9978.1811951207092</v>
      </c>
      <c r="AI45" s="82">
        <f t="shared" si="20"/>
        <v>-10301.514869800112</v>
      </c>
      <c r="AJ45" s="82">
        <f t="shared" si="20"/>
        <v>-10667.407225741379</v>
      </c>
      <c r="AK45" s="82">
        <f t="shared" si="20"/>
        <v>-10878.451714024979</v>
      </c>
      <c r="AL45" s="82">
        <f t="shared" si="20"/>
        <v>-10339.692377493246</v>
      </c>
    </row>
    <row r="47" spans="2:38">
      <c r="B47" t="s">
        <v>317</v>
      </c>
      <c r="D47" s="69">
        <f>D31-D23-QDJ!D29</f>
        <v>0</v>
      </c>
      <c r="E47" s="69">
        <f>E31-E23-QDJ!E29</f>
        <v>0</v>
      </c>
      <c r="F47" s="69">
        <f>F31-F23-QDJ!F29</f>
        <v>3600.1264207519316</v>
      </c>
      <c r="G47" s="69">
        <f>G31-G23-QDJ!G29</f>
        <v>4315.3909324370543</v>
      </c>
      <c r="H47" s="69">
        <f>H31-H23-QDJ!H29</f>
        <v>4968.0138460749204</v>
      </c>
      <c r="I47" s="69">
        <f>I31-I23-QDJ!I29</f>
        <v>5190.5236743948735</v>
      </c>
      <c r="J47" s="69">
        <f>J31-J23-QDJ!J29</f>
        <v>5868.6725380312419</v>
      </c>
      <c r="K47" s="69">
        <f>K31-K23-QDJ!K29</f>
        <v>6546.8214016676029</v>
      </c>
      <c r="L47" s="69">
        <f>L31-L23-QDJ!L29</f>
        <v>5508.061174394883</v>
      </c>
      <c r="M47" s="69">
        <f>M31-M23-QDJ!M29</f>
        <v>5533.9780474625513</v>
      </c>
      <c r="N47" s="69">
        <f>N31-N23-QDJ!N29</f>
        <v>3156.0770834857904</v>
      </c>
      <c r="O47" s="69">
        <f>O31-O23-QDJ!O29</f>
        <v>3834.2259471221478</v>
      </c>
      <c r="P47" s="69">
        <f>P31-P23-QDJ!P29</f>
        <v>4512.3748107585197</v>
      </c>
      <c r="Q47" s="69">
        <f>Q31-Q23-QDJ!Q29</f>
        <v>5190.5236743948844</v>
      </c>
      <c r="R47" s="69">
        <f>R31-R23-QDJ!R29</f>
        <v>5868.6725380312419</v>
      </c>
      <c r="S47" s="69">
        <f>S31-S23-QDJ!S29</f>
        <v>6546.8214016676066</v>
      </c>
      <c r="T47" s="69">
        <f>T31-T23-QDJ!T29</f>
        <v>5508.0611743948684</v>
      </c>
      <c r="U47" s="69">
        <f>U31-U23-QDJ!U29</f>
        <v>5533.9780474625441</v>
      </c>
      <c r="V47" s="69">
        <f>V31-V23-QDJ!V29</f>
        <v>3156.0770834857976</v>
      </c>
      <c r="W47" s="69">
        <f>W31-W23-QDJ!W29</f>
        <v>3834.2259471221478</v>
      </c>
      <c r="X47" s="69">
        <f>X31-X23-QDJ!X29</f>
        <v>4512.3748107585125</v>
      </c>
      <c r="Y47" s="69">
        <f>Y31-Y23-QDJ!Y29</f>
        <v>5190.5236743948772</v>
      </c>
      <c r="Z47" s="69">
        <f>Z31-Z23-QDJ!Z29</f>
        <v>5868.6725380312419</v>
      </c>
      <c r="AA47" s="69">
        <f>AA31-AA23-QDJ!AA29</f>
        <v>6546.8214016676066</v>
      </c>
      <c r="AB47" s="69">
        <f>AB31-AB23-QDJ!AB29</f>
        <v>5508.061174394883</v>
      </c>
      <c r="AC47" s="69">
        <f>AC31-AC23-QDJ!AC29</f>
        <v>5533.9780474625586</v>
      </c>
      <c r="AD47" s="69">
        <f>AD31-AD23-QDJ!AD29</f>
        <v>3156.0770834857976</v>
      </c>
      <c r="AE47" s="69">
        <f>AE31-AE23-QDJ!AE29</f>
        <v>3834.2259471221478</v>
      </c>
      <c r="AF47" s="69">
        <f>AF31-AF23-QDJ!AF29</f>
        <v>4512.3748107585125</v>
      </c>
      <c r="AG47" s="69">
        <f>AG31-AG23-QDJ!AG29</f>
        <v>5190.5236743948772</v>
      </c>
      <c r="AH47" s="69">
        <f>AH31-AH23-QDJ!AH29</f>
        <v>5868.6725380312419</v>
      </c>
      <c r="AI47" s="69">
        <f>AI31-AI23-QDJ!AI29</f>
        <v>6546.8214016676066</v>
      </c>
      <c r="AJ47" s="69">
        <f>AJ31-AJ23-QDJ!AJ29</f>
        <v>5508.0611743948684</v>
      </c>
      <c r="AK47" s="69">
        <f>AK31-AK23-QDJ!AK29</f>
        <v>5533.9780474625586</v>
      </c>
      <c r="AL47" s="69">
        <f>AL31-AL23-QDJ!AL29</f>
        <v>3156.0770834858122</v>
      </c>
    </row>
  </sheetData>
  <phoneticPr fontId="33" type="noConversion"/>
  <printOptions horizontalCentered="1"/>
  <pageMargins left="0.98425196850393704" right="0.39370078740157483" top="1.1811023622047245" bottom="0.78740157480314965" header="0.78740157480314965" footer="0.78740157480314965"/>
  <pageSetup paperSize="9" scale="60" orientation="landscape" r:id="rId1"/>
  <headerFooter>
    <oddFooter>&amp;L&amp;"Arial,Negrito"Nota 1: de acordo com as novas normas contábeis vigentes no país, foram contabilizados no item 1.2 as Receitas de Constução e no item 4.5 os Custos de Construção e a Conservação Especial (essa última só a partir do ano 3).</oddFooter>
  </headerFooter>
  <colBreaks count="1" manualBreakCount="1">
    <brk id="21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Planilha15"/>
  <dimension ref="B1:AL40"/>
  <sheetViews>
    <sheetView showGridLines="0" zoomScale="70" zoomScaleNormal="70" workbookViewId="0">
      <selection activeCell="P7" sqref="P7"/>
    </sheetView>
  </sheetViews>
  <sheetFormatPr defaultRowHeight="12.75"/>
  <cols>
    <col min="1" max="1" width="3.7109375" customWidth="1"/>
    <col min="2" max="2" width="43.7109375" customWidth="1"/>
    <col min="3" max="3" width="14.28515625" customWidth="1"/>
    <col min="4" max="4" width="14.85546875" customWidth="1"/>
    <col min="5" max="38" width="13.7109375" customWidth="1"/>
  </cols>
  <sheetData>
    <row r="1" spans="2:38" ht="39.950000000000003" customHeight="1">
      <c r="B1" s="19" t="str">
        <f>QDA!B1:O1</f>
        <v>CONCESSIONÁRIA ROTA DO ATLÂNTICO</v>
      </c>
      <c r="C1" s="19"/>
      <c r="D1" s="19"/>
      <c r="E1" s="19"/>
      <c r="F1" s="154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</row>
    <row r="2" spans="2:38" ht="15">
      <c r="B2" s="5" t="s">
        <v>224</v>
      </c>
      <c r="C2" s="6"/>
      <c r="D2" s="6" t="s">
        <v>43</v>
      </c>
      <c r="F2" s="20" t="s">
        <v>230</v>
      </c>
      <c r="AG2" s="20"/>
      <c r="AL2" s="20"/>
    </row>
    <row r="3" spans="2:38" ht="30.2" customHeight="1">
      <c r="B3" s="26" t="s">
        <v>78</v>
      </c>
      <c r="C3" s="26" t="s">
        <v>4</v>
      </c>
      <c r="D3" s="26">
        <v>1</v>
      </c>
      <c r="E3" s="26">
        <v>2</v>
      </c>
      <c r="F3" s="26">
        <v>3</v>
      </c>
      <c r="G3" s="26">
        <v>4</v>
      </c>
      <c r="H3" s="26">
        <v>5</v>
      </c>
      <c r="I3" s="26">
        <v>6</v>
      </c>
      <c r="J3" s="26">
        <v>7</v>
      </c>
      <c r="K3" s="26">
        <v>8</v>
      </c>
      <c r="L3" s="26">
        <v>9</v>
      </c>
      <c r="M3" s="26">
        <v>10</v>
      </c>
      <c r="N3" s="26">
        <v>11</v>
      </c>
      <c r="O3" s="26">
        <v>12</v>
      </c>
      <c r="P3" s="26">
        <v>13</v>
      </c>
      <c r="Q3" s="26">
        <v>14</v>
      </c>
      <c r="R3" s="26">
        <v>15</v>
      </c>
      <c r="S3" s="26">
        <v>16</v>
      </c>
      <c r="T3" s="26">
        <v>17</v>
      </c>
      <c r="U3" s="26">
        <v>18</v>
      </c>
      <c r="V3" s="26">
        <v>19</v>
      </c>
      <c r="W3" s="26">
        <v>20</v>
      </c>
      <c r="X3" s="26">
        <v>21</v>
      </c>
      <c r="Y3" s="26">
        <v>22</v>
      </c>
      <c r="Z3" s="26">
        <v>23</v>
      </c>
      <c r="AA3" s="26">
        <v>24</v>
      </c>
      <c r="AB3" s="26">
        <v>25</v>
      </c>
      <c r="AC3" s="26">
        <v>26</v>
      </c>
      <c r="AD3" s="26">
        <v>27</v>
      </c>
      <c r="AE3" s="26">
        <v>28</v>
      </c>
      <c r="AF3" s="26">
        <v>29</v>
      </c>
      <c r="AG3" s="26">
        <v>30</v>
      </c>
      <c r="AH3" s="26">
        <v>31</v>
      </c>
      <c r="AI3" s="26">
        <v>32</v>
      </c>
      <c r="AJ3" s="26">
        <v>33</v>
      </c>
      <c r="AK3" s="26">
        <v>34</v>
      </c>
      <c r="AL3" s="26">
        <v>35</v>
      </c>
    </row>
    <row r="4" spans="2:38" ht="24.95" customHeight="1">
      <c r="B4" s="43" t="s">
        <v>97</v>
      </c>
      <c r="C4" s="53">
        <f t="shared" ref="C4:C25" si="0">SUM(D4:AL4)</f>
        <v>3934545.1979492819</v>
      </c>
      <c r="D4" s="53">
        <f>D5</f>
        <v>0</v>
      </c>
      <c r="E4" s="53">
        <f t="shared" ref="E4:AL4" si="1">E5</f>
        <v>0.89461184415000405</v>
      </c>
      <c r="F4" s="53">
        <f t="shared" si="1"/>
        <v>41777.569086551244</v>
      </c>
      <c r="G4" s="53">
        <f>G5</f>
        <v>54287.569508805478</v>
      </c>
      <c r="H4" s="53">
        <f t="shared" si="1"/>
        <v>61141.441813315418</v>
      </c>
      <c r="I4" s="53">
        <f t="shared" si="1"/>
        <v>64785.486856360214</v>
      </c>
      <c r="J4" s="53">
        <f t="shared" si="1"/>
        <v>66684.946569682928</v>
      </c>
      <c r="K4" s="53">
        <f t="shared" si="1"/>
        <v>70354.958545352245</v>
      </c>
      <c r="L4" s="53">
        <f t="shared" si="1"/>
        <v>74480.968084602486</v>
      </c>
      <c r="M4" s="53">
        <f t="shared" si="1"/>
        <v>78646.668576727039</v>
      </c>
      <c r="N4" s="53">
        <f t="shared" si="1"/>
        <v>82758.539257619836</v>
      </c>
      <c r="O4" s="53">
        <f t="shared" si="1"/>
        <v>87024.692329238329</v>
      </c>
      <c r="P4" s="53">
        <f t="shared" si="1"/>
        <v>91431.291542369712</v>
      </c>
      <c r="Q4" s="53">
        <f t="shared" si="1"/>
        <v>95844.515414449445</v>
      </c>
      <c r="R4" s="53">
        <f t="shared" si="1"/>
        <v>96645.500927492176</v>
      </c>
      <c r="S4" s="53">
        <f t="shared" si="1"/>
        <v>101178.81436332628</v>
      </c>
      <c r="T4" s="53">
        <f t="shared" si="1"/>
        <v>105788.83432081273</v>
      </c>
      <c r="U4" s="53">
        <f t="shared" si="1"/>
        <v>110473.5093547854</v>
      </c>
      <c r="V4" s="53">
        <f t="shared" si="1"/>
        <v>115232.38572736495</v>
      </c>
      <c r="W4" s="53">
        <f t="shared" si="1"/>
        <v>120136.30497800547</v>
      </c>
      <c r="X4" s="53">
        <f t="shared" si="1"/>
        <v>125250.90361858827</v>
      </c>
      <c r="Y4" s="53">
        <f t="shared" si="1"/>
        <v>130406.08927214963</v>
      </c>
      <c r="Z4" s="53">
        <f t="shared" si="1"/>
        <v>135593.54223130876</v>
      </c>
      <c r="AA4" s="53">
        <f t="shared" si="1"/>
        <v>140803.53201005305</v>
      </c>
      <c r="AB4" s="53">
        <f t="shared" si="1"/>
        <v>146025.43591836683</v>
      </c>
      <c r="AC4" s="53">
        <f t="shared" si="1"/>
        <v>151246.9716671404</v>
      </c>
      <c r="AD4" s="53">
        <f t="shared" si="1"/>
        <v>156453.87267038817</v>
      </c>
      <c r="AE4" s="53">
        <f t="shared" si="1"/>
        <v>161630.52571747208</v>
      </c>
      <c r="AF4" s="53">
        <f t="shared" si="1"/>
        <v>166758.75168885948</v>
      </c>
      <c r="AG4" s="53">
        <f t="shared" si="1"/>
        <v>171819.53914871582</v>
      </c>
      <c r="AH4" s="53">
        <f t="shared" si="1"/>
        <v>176793.43301848136</v>
      </c>
      <c r="AI4" s="53">
        <f t="shared" si="1"/>
        <v>181659.94611004196</v>
      </c>
      <c r="AJ4" s="53">
        <f t="shared" si="1"/>
        <v>186399.90751658328</v>
      </c>
      <c r="AK4" s="53">
        <f t="shared" si="1"/>
        <v>191001.10383613568</v>
      </c>
      <c r="AL4" s="53">
        <f t="shared" si="1"/>
        <v>194026.75165629195</v>
      </c>
    </row>
    <row r="5" spans="2:38" ht="18" customHeight="1">
      <c r="B5" s="158" t="s">
        <v>98</v>
      </c>
      <c r="C5" s="40">
        <f t="shared" si="0"/>
        <v>3934545.1979492819</v>
      </c>
      <c r="D5" s="40">
        <f>SUM(D6:D7)</f>
        <v>0</v>
      </c>
      <c r="E5" s="40">
        <f t="shared" ref="E5:AL5" si="2">SUM(E6:E7)</f>
        <v>0.89461184415000405</v>
      </c>
      <c r="F5" s="40">
        <f t="shared" si="2"/>
        <v>41777.569086551244</v>
      </c>
      <c r="G5" s="40">
        <f>SUM(G6:G7)</f>
        <v>54287.569508805478</v>
      </c>
      <c r="H5" s="40">
        <f t="shared" si="2"/>
        <v>61141.441813315418</v>
      </c>
      <c r="I5" s="40">
        <f t="shared" si="2"/>
        <v>64785.486856360214</v>
      </c>
      <c r="J5" s="40">
        <f t="shared" si="2"/>
        <v>66684.946569682928</v>
      </c>
      <c r="K5" s="40">
        <f t="shared" si="2"/>
        <v>70354.958545352245</v>
      </c>
      <c r="L5" s="40">
        <f t="shared" si="2"/>
        <v>74480.968084602486</v>
      </c>
      <c r="M5" s="40">
        <f t="shared" si="2"/>
        <v>78646.668576727039</v>
      </c>
      <c r="N5" s="40">
        <f t="shared" si="2"/>
        <v>82758.539257619836</v>
      </c>
      <c r="O5" s="40">
        <f t="shared" si="2"/>
        <v>87024.692329238329</v>
      </c>
      <c r="P5" s="40">
        <f t="shared" si="2"/>
        <v>91431.291542369712</v>
      </c>
      <c r="Q5" s="40">
        <f t="shared" si="2"/>
        <v>95844.515414449445</v>
      </c>
      <c r="R5" s="40">
        <f t="shared" si="2"/>
        <v>96645.500927492176</v>
      </c>
      <c r="S5" s="40">
        <f t="shared" si="2"/>
        <v>101178.81436332628</v>
      </c>
      <c r="T5" s="40">
        <f t="shared" si="2"/>
        <v>105788.83432081273</v>
      </c>
      <c r="U5" s="40">
        <f t="shared" si="2"/>
        <v>110473.5093547854</v>
      </c>
      <c r="V5" s="40">
        <f t="shared" si="2"/>
        <v>115232.38572736495</v>
      </c>
      <c r="W5" s="40">
        <f t="shared" si="2"/>
        <v>120136.30497800547</v>
      </c>
      <c r="X5" s="40">
        <f t="shared" si="2"/>
        <v>125250.90361858827</v>
      </c>
      <c r="Y5" s="40">
        <f t="shared" si="2"/>
        <v>130406.08927214963</v>
      </c>
      <c r="Z5" s="40">
        <f t="shared" si="2"/>
        <v>135593.54223130876</v>
      </c>
      <c r="AA5" s="40">
        <f t="shared" si="2"/>
        <v>140803.53201005305</v>
      </c>
      <c r="AB5" s="40">
        <f t="shared" si="2"/>
        <v>146025.43591836683</v>
      </c>
      <c r="AC5" s="40">
        <f t="shared" si="2"/>
        <v>151246.9716671404</v>
      </c>
      <c r="AD5" s="40">
        <f t="shared" si="2"/>
        <v>156453.87267038817</v>
      </c>
      <c r="AE5" s="40">
        <f t="shared" si="2"/>
        <v>161630.52571747208</v>
      </c>
      <c r="AF5" s="40">
        <f t="shared" si="2"/>
        <v>166758.75168885948</v>
      </c>
      <c r="AG5" s="40">
        <f t="shared" si="2"/>
        <v>171819.53914871582</v>
      </c>
      <c r="AH5" s="40">
        <f t="shared" si="2"/>
        <v>176793.43301848136</v>
      </c>
      <c r="AI5" s="40">
        <f t="shared" si="2"/>
        <v>181659.94611004196</v>
      </c>
      <c r="AJ5" s="40">
        <f t="shared" si="2"/>
        <v>186399.90751658328</v>
      </c>
      <c r="AK5" s="40">
        <f t="shared" si="2"/>
        <v>191001.10383613568</v>
      </c>
      <c r="AL5" s="40">
        <f t="shared" si="2"/>
        <v>194026.75165629195</v>
      </c>
    </row>
    <row r="6" spans="2:38" ht="18" customHeight="1">
      <c r="B6" s="157" t="s">
        <v>99</v>
      </c>
      <c r="C6" s="52">
        <f t="shared" si="0"/>
        <v>3933581.0998903485</v>
      </c>
      <c r="D6" s="49">
        <f t="array" ref="D6:AL6">TRANSPOSE(QDB!O6:O40)</f>
        <v>0</v>
      </c>
      <c r="E6" s="49">
        <v>0</v>
      </c>
      <c r="F6" s="49">
        <v>41773.03743548692</v>
      </c>
      <c r="G6" s="49">
        <v>54242.188591626764</v>
      </c>
      <c r="H6" s="49">
        <v>61095.308416986627</v>
      </c>
      <c r="I6" s="49">
        <v>64722.066147548714</v>
      </c>
      <c r="J6" s="49">
        <v>66591.40387070096</v>
      </c>
      <c r="K6" s="49">
        <v>70262.062217854953</v>
      </c>
      <c r="L6" s="49">
        <v>74382.066791974721</v>
      </c>
      <c r="M6" s="49">
        <v>78518.776586422639</v>
      </c>
      <c r="N6" s="49">
        <v>82624.077209380383</v>
      </c>
      <c r="O6" s="49">
        <v>86881.146439241478</v>
      </c>
      <c r="P6" s="49">
        <v>91318.7950163114</v>
      </c>
      <c r="Q6" s="49">
        <v>95844.515414449445</v>
      </c>
      <c r="R6" s="49">
        <v>96645.500927492176</v>
      </c>
      <c r="S6" s="49">
        <v>101178.81436332628</v>
      </c>
      <c r="T6" s="49">
        <v>105788.83432081273</v>
      </c>
      <c r="U6" s="49">
        <v>110473.5093547854</v>
      </c>
      <c r="V6" s="49">
        <v>115232.38572736495</v>
      </c>
      <c r="W6" s="49">
        <v>120136.30497800547</v>
      </c>
      <c r="X6" s="49">
        <v>125250.90361858827</v>
      </c>
      <c r="Y6" s="49">
        <v>130406.08927214963</v>
      </c>
      <c r="Z6" s="49">
        <v>135593.54223130876</v>
      </c>
      <c r="AA6" s="49">
        <v>140803.53201005305</v>
      </c>
      <c r="AB6" s="49">
        <v>146025.43591836683</v>
      </c>
      <c r="AC6" s="49">
        <v>151246.9716671404</v>
      </c>
      <c r="AD6" s="49">
        <v>156453.87267038817</v>
      </c>
      <c r="AE6" s="49">
        <v>161630.52571747208</v>
      </c>
      <c r="AF6" s="49">
        <v>166758.75168885948</v>
      </c>
      <c r="AG6" s="49">
        <v>171819.53914871582</v>
      </c>
      <c r="AH6" s="49">
        <v>176793.43301848136</v>
      </c>
      <c r="AI6" s="49">
        <v>181659.94611004196</v>
      </c>
      <c r="AJ6" s="49">
        <v>186399.90751658328</v>
      </c>
      <c r="AK6" s="49">
        <v>191001.10383613568</v>
      </c>
      <c r="AL6" s="49">
        <v>194026.75165629195</v>
      </c>
    </row>
    <row r="7" spans="2:38" ht="18" customHeight="1">
      <c r="B7" s="159" t="s">
        <v>442</v>
      </c>
      <c r="C7" s="52">
        <f t="shared" si="0"/>
        <v>964.09805893352836</v>
      </c>
      <c r="D7" s="415" cm="1">
        <f t="array" ref="D7">_xlfn.IFS('Painel de Controle'!$D$17="Pleito 3",'Receitas Acessórias'!G33,'Painel de Controle'!$D$17="Pleito 6",'Receitas Acessórias'!G34,'Painel de Controle'!$D$17="Pleito 8",'Receitas Acessórias'!G35)/1000</f>
        <v>0</v>
      </c>
      <c r="E7" s="415" cm="1">
        <f t="array" ref="E7">_xlfn.IFS('Painel de Controle'!$D$17="Pleito 3",'Receitas Acessórias'!H33,'Painel de Controle'!$D$17="Pleito 6",'Receitas Acessórias'!H34,'Painel de Controle'!$D$17="Pleito 8",'Receitas Acessórias'!H35)/1000</f>
        <v>0.89461184415000405</v>
      </c>
      <c r="F7" s="415" cm="1">
        <f t="array" ref="F7">_xlfn.IFS('Painel de Controle'!$D$17="Pleito 3",'Receitas Acessórias'!I33,'Painel de Controle'!$D$17="Pleito 6",'Receitas Acessórias'!I34,'Painel de Controle'!$D$17="Pleito 8",'Receitas Acessórias'!I35)/1000</f>
        <v>4.5316510643240182</v>
      </c>
      <c r="G7" s="415" cm="1">
        <f t="array" ref="G7">_xlfn.IFS('Painel de Controle'!$D$17="Pleito 3",'Receitas Acessórias'!J33,'Painel de Controle'!$D$17="Pleito 6",'Receitas Acessórias'!J34,'Painel de Controle'!$D$17="Pleito 8",'Receitas Acessórias'!J35)/1000</f>
        <v>45.380917178714618</v>
      </c>
      <c r="H7" s="415" cm="1">
        <f t="array" ref="H7">_xlfn.IFS('Painel de Controle'!$D$17="Pleito 3",'Receitas Acessórias'!K33,'Painel de Controle'!$D$17="Pleito 6",'Receitas Acessórias'!K34,'Painel de Controle'!$D$17="Pleito 8",'Receitas Acessórias'!K35)/1000</f>
        <v>46.133396328787882</v>
      </c>
      <c r="I7" s="415" cm="1">
        <f t="array" ref="I7">_xlfn.IFS('Painel de Controle'!$D$17="Pleito 3",'Receitas Acessórias'!L33,'Painel de Controle'!$D$17="Pleito 6",'Receitas Acessórias'!L34,'Painel de Controle'!$D$17="Pleito 8",'Receitas Acessórias'!L35)/1000</f>
        <v>63.420708811499921</v>
      </c>
      <c r="J7" s="415" cm="1">
        <f t="array" ref="J7">_xlfn.IFS('Painel de Controle'!$D$17="Pleito 3",'Receitas Acessórias'!M33,'Painel de Controle'!$D$17="Pleito 6",'Receitas Acessórias'!M34,'Painel de Controle'!$D$17="Pleito 8",'Receitas Acessórias'!M35)/1000</f>
        <v>93.542698981964094</v>
      </c>
      <c r="K7" s="415" cm="1">
        <f t="array" ref="K7">_xlfn.IFS('Painel de Controle'!$D$17="Pleito 3",'Receitas Acessórias'!N33,'Painel de Controle'!$D$17="Pleito 6",'Receitas Acessórias'!N34,'Painel de Controle'!$D$17="Pleito 8",'Receitas Acessórias'!N35)/1000</f>
        <v>92.896327497291082</v>
      </c>
      <c r="L7" s="415" cm="1">
        <f t="array" ref="L7">_xlfn.IFS('Painel de Controle'!$D$17="Pleito 3",'Receitas Acessórias'!O33,'Painel de Controle'!$D$17="Pleito 6",'Receitas Acessórias'!O34,'Painel de Controle'!$D$17="Pleito 8",'Receitas Acessórias'!O35)/1000</f>
        <v>98.901292627771213</v>
      </c>
      <c r="M7" s="415" cm="1">
        <f t="array" ref="M7">_xlfn.IFS('Painel de Controle'!$D$17="Pleito 3",'Receitas Acessórias'!P33,'Painel de Controle'!$D$17="Pleito 6",'Receitas Acessórias'!P34,'Painel de Controle'!$D$17="Pleito 8",'Receitas Acessórias'!P35)/1000</f>
        <v>127.8919903043975</v>
      </c>
      <c r="N7" s="415" cm="1">
        <f t="array" ref="N7">_xlfn.IFS('Painel de Controle'!$D$17="Pleito 3",'Receitas Acessórias'!Q33,'Painel de Controle'!$D$17="Pleito 6",'Receitas Acessórias'!Q34,'Painel de Controle'!$D$17="Pleito 8",'Receitas Acessórias'!Q35)/1000</f>
        <v>134.46204823945772</v>
      </c>
      <c r="O7" s="415" cm="1">
        <f t="array" ref="O7">_xlfn.IFS('Painel de Controle'!$D$17="Pleito 3",'Receitas Acessórias'!R33,'Painel de Controle'!$D$17="Pleito 6",'Receitas Acessórias'!R34,'Painel de Controle'!$D$17="Pleito 8",'Receitas Acessórias'!R35)/1000</f>
        <v>143.54588999685427</v>
      </c>
      <c r="P7" s="415" cm="1">
        <f t="array" ref="P7">_xlfn.IFS('Painel de Controle'!$D$17="Pleito 3",'Receitas Acessórias'!S33,'Painel de Controle'!$D$17="Pleito 6",'Receitas Acessórias'!S34,'Painel de Controle'!$D$17="Pleito 8",'Receitas Acessórias'!S35)/1000</f>
        <v>112.49652605831587</v>
      </c>
      <c r="Q7" s="415" cm="1">
        <f t="array" ref="Q7">_xlfn.IFS('Painel de Controle'!$D$17="Pleito 3",'Receitas Acessórias'!T33,'Painel de Controle'!$D$17="Pleito 6",'Receitas Acessórias'!T34,'Painel de Controle'!$D$17="Pleito 8",'Receitas Acessórias'!T35)/1000</f>
        <v>0</v>
      </c>
      <c r="R7" s="415" cm="1">
        <f t="array" ref="R7">_xlfn.IFS('Painel de Controle'!$D$17="Pleito 3",'Receitas Acessórias'!U33,'Painel de Controle'!$D$17="Pleito 6",'Receitas Acessórias'!U34,'Painel de Controle'!$D$17="Pleito 8",'Receitas Acessórias'!U35)/1000</f>
        <v>0</v>
      </c>
      <c r="S7" s="415" cm="1">
        <f t="array" ref="S7">_xlfn.IFS('Painel de Controle'!$D$17="Pleito 3",'Receitas Acessórias'!V33,'Painel de Controle'!$D$17="Pleito 6",'Receitas Acessórias'!V34,'Painel de Controle'!$D$17="Pleito 8",'Receitas Acessórias'!V35)/1000</f>
        <v>0</v>
      </c>
      <c r="T7" s="415" cm="1">
        <f t="array" ref="T7">_xlfn.IFS('Painel de Controle'!$D$17="Pleito 3",'Receitas Acessórias'!W33,'Painel de Controle'!$D$17="Pleito 6",'Receitas Acessórias'!W34,'Painel de Controle'!$D$17="Pleito 8",'Receitas Acessórias'!W35)/1000</f>
        <v>0</v>
      </c>
      <c r="U7" s="415" cm="1">
        <f t="array" ref="U7">_xlfn.IFS('Painel de Controle'!$D$17="Pleito 3",'Receitas Acessórias'!X33,'Painel de Controle'!$D$17="Pleito 6",'Receitas Acessórias'!X34,'Painel de Controle'!$D$17="Pleito 8",'Receitas Acessórias'!X35)/1000</f>
        <v>0</v>
      </c>
      <c r="V7" s="415" cm="1">
        <f t="array" ref="V7">_xlfn.IFS('Painel de Controle'!$D$17="Pleito 3",'Receitas Acessórias'!Y33,'Painel de Controle'!$D$17="Pleito 6",'Receitas Acessórias'!Y34,'Painel de Controle'!$D$17="Pleito 8",'Receitas Acessórias'!Y35)/1000</f>
        <v>0</v>
      </c>
      <c r="W7" s="415" cm="1">
        <f t="array" ref="W7">_xlfn.IFS('Painel de Controle'!$D$17="Pleito 3",'Receitas Acessórias'!Z33,'Painel de Controle'!$D$17="Pleito 6",'Receitas Acessórias'!Z34,'Painel de Controle'!$D$17="Pleito 8",'Receitas Acessórias'!Z35)/1000</f>
        <v>0</v>
      </c>
      <c r="X7" s="415" cm="1">
        <f t="array" ref="X7">_xlfn.IFS('Painel de Controle'!$D$17="Pleito 3",'Receitas Acessórias'!AA33,'Painel de Controle'!$D$17="Pleito 6",'Receitas Acessórias'!AA34,'Painel de Controle'!$D$17="Pleito 8",'Receitas Acessórias'!AA35)/1000</f>
        <v>0</v>
      </c>
      <c r="Y7" s="415" cm="1">
        <f t="array" ref="Y7">_xlfn.IFS('Painel de Controle'!$D$17="Pleito 3",'Receitas Acessórias'!AB33,'Painel de Controle'!$D$17="Pleito 6",'Receitas Acessórias'!AB34,'Painel de Controle'!$D$17="Pleito 8",'Receitas Acessórias'!AB35)/1000</f>
        <v>0</v>
      </c>
      <c r="Z7" s="415" cm="1">
        <f t="array" ref="Z7">_xlfn.IFS('Painel de Controle'!$D$17="Pleito 3",'Receitas Acessórias'!AC33,'Painel de Controle'!$D$17="Pleito 6",'Receitas Acessórias'!AC34,'Painel de Controle'!$D$17="Pleito 8",'Receitas Acessórias'!AC35)/1000</f>
        <v>0</v>
      </c>
      <c r="AA7" s="415" cm="1">
        <f t="array" ref="AA7">_xlfn.IFS('Painel de Controle'!$D$17="Pleito 3",'Receitas Acessórias'!AD33,'Painel de Controle'!$D$17="Pleito 6",'Receitas Acessórias'!AD34,'Painel de Controle'!$D$17="Pleito 8",'Receitas Acessórias'!AD35)/1000</f>
        <v>0</v>
      </c>
      <c r="AB7" s="415" cm="1">
        <f t="array" ref="AB7">_xlfn.IFS('Painel de Controle'!$D$17="Pleito 3",'Receitas Acessórias'!AE33,'Painel de Controle'!$D$17="Pleito 6",'Receitas Acessórias'!AE34,'Painel de Controle'!$D$17="Pleito 8",'Receitas Acessórias'!AE35)/1000</f>
        <v>0</v>
      </c>
      <c r="AC7" s="415" cm="1">
        <f t="array" ref="AC7">_xlfn.IFS('Painel de Controle'!$D$17="Pleito 3",'Receitas Acessórias'!AF33,'Painel de Controle'!$D$17="Pleito 6",'Receitas Acessórias'!AF34,'Painel de Controle'!$D$17="Pleito 8",'Receitas Acessórias'!AF35)/1000</f>
        <v>0</v>
      </c>
      <c r="AD7" s="415" cm="1">
        <f t="array" ref="AD7">_xlfn.IFS('Painel de Controle'!$D$17="Pleito 3",'Receitas Acessórias'!AG33,'Painel de Controle'!$D$17="Pleito 6",'Receitas Acessórias'!AG34,'Painel de Controle'!$D$17="Pleito 8",'Receitas Acessórias'!AG35)/1000</f>
        <v>0</v>
      </c>
      <c r="AE7" s="415" cm="1">
        <f t="array" ref="AE7">_xlfn.IFS('Painel de Controle'!$D$17="Pleito 3",'Receitas Acessórias'!AH33,'Painel de Controle'!$D$17="Pleito 6",'Receitas Acessórias'!AH34,'Painel de Controle'!$D$17="Pleito 8",'Receitas Acessórias'!AH35)/1000</f>
        <v>0</v>
      </c>
      <c r="AF7" s="415" cm="1">
        <f t="array" ref="AF7">_xlfn.IFS('Painel de Controle'!$D$17="Pleito 3",'Receitas Acessórias'!AI33,'Painel de Controle'!$D$17="Pleito 6",'Receitas Acessórias'!AI34,'Painel de Controle'!$D$17="Pleito 8",'Receitas Acessórias'!AI35)/1000</f>
        <v>0</v>
      </c>
      <c r="AG7" s="415" cm="1">
        <f t="array" ref="AG7">_xlfn.IFS('Painel de Controle'!$D$17="Pleito 3",'Receitas Acessórias'!AJ33,'Painel de Controle'!$D$17="Pleito 6",'Receitas Acessórias'!AJ34,'Painel de Controle'!$D$17="Pleito 8",'Receitas Acessórias'!AJ35)/1000</f>
        <v>0</v>
      </c>
      <c r="AH7" s="415" cm="1">
        <f t="array" ref="AH7">_xlfn.IFS('Painel de Controle'!$D$17="Pleito 3",'Receitas Acessórias'!AK33,'Painel de Controle'!$D$17="Pleito 6",'Receitas Acessórias'!AK34,'Painel de Controle'!$D$17="Pleito 8",'Receitas Acessórias'!AK35)/1000</f>
        <v>0</v>
      </c>
      <c r="AI7" s="415" cm="1">
        <f t="array" ref="AI7">_xlfn.IFS('Painel de Controle'!$D$17="Pleito 3",'Receitas Acessórias'!AL33,'Painel de Controle'!$D$17="Pleito 6",'Receitas Acessórias'!AL34,'Painel de Controle'!$D$17="Pleito 8",'Receitas Acessórias'!AL35)/1000</f>
        <v>0</v>
      </c>
      <c r="AJ7" s="415" cm="1">
        <f t="array" ref="AJ7">_xlfn.IFS('Painel de Controle'!$D$17="Pleito 3",'Receitas Acessórias'!AM33,'Painel de Controle'!$D$17="Pleito 6",'Receitas Acessórias'!AM34,'Painel de Controle'!$D$17="Pleito 8",'Receitas Acessórias'!AM35)/1000</f>
        <v>0</v>
      </c>
      <c r="AK7" s="415" cm="1">
        <f t="array" ref="AK7">_xlfn.IFS('Painel de Controle'!$D$17="Pleito 3",'Receitas Acessórias'!AN33,'Painel de Controle'!$D$17="Pleito 6",'Receitas Acessórias'!AN34,'Painel de Controle'!$D$17="Pleito 8",'Receitas Acessórias'!AN35)/1000</f>
        <v>0</v>
      </c>
      <c r="AL7" s="415" cm="1">
        <f t="array" ref="AL7">_xlfn.IFS('Painel de Controle'!$D$17="Pleito 3",'Receitas Acessórias'!AO33,'Painel de Controle'!$D$17="Pleito 6",'Receitas Acessórias'!AO34,'Painel de Controle'!$D$17="Pleito 8",'Receitas Acessórias'!AO35)/1000</f>
        <v>0</v>
      </c>
    </row>
    <row r="8" spans="2:38" ht="24.95" customHeight="1">
      <c r="B8" s="43" t="s">
        <v>100</v>
      </c>
      <c r="C8" s="53">
        <f t="shared" si="0"/>
        <v>2576540.8640553043</v>
      </c>
      <c r="D8" s="53">
        <f>D9+D21</f>
        <v>96483.060304822095</v>
      </c>
      <c r="E8" s="53">
        <f t="shared" ref="E8:AG8" si="3">E9+E21</f>
        <v>151147.47609223358</v>
      </c>
      <c r="F8" s="53">
        <f t="shared" si="3"/>
        <v>31515.804348477028</v>
      </c>
      <c r="G8" s="53">
        <f t="shared" si="3"/>
        <v>34662.736976340275</v>
      </c>
      <c r="H8" s="53">
        <f t="shared" si="3"/>
        <v>37290.565051939382</v>
      </c>
      <c r="I8" s="53">
        <f t="shared" si="3"/>
        <v>38992.698236940472</v>
      </c>
      <c r="J8" s="53">
        <f t="shared" si="3"/>
        <v>40984.589346782544</v>
      </c>
      <c r="K8" s="53">
        <f t="shared" si="3"/>
        <v>42317.483677184675</v>
      </c>
      <c r="L8" s="53">
        <f t="shared" si="3"/>
        <v>43902.571262080193</v>
      </c>
      <c r="M8" s="53">
        <f t="shared" si="3"/>
        <v>45310.607485261979</v>
      </c>
      <c r="N8" s="53">
        <f t="shared" si="3"/>
        <v>46682.088929451296</v>
      </c>
      <c r="O8" s="53">
        <f t="shared" si="3"/>
        <v>53240.787187966955</v>
      </c>
      <c r="P8" s="53">
        <f t="shared" si="3"/>
        <v>56484.42613661693</v>
      </c>
      <c r="Q8" s="53">
        <f t="shared" si="3"/>
        <v>69883.707319381807</v>
      </c>
      <c r="R8" s="53">
        <f t="shared" si="3"/>
        <v>62862.299448279424</v>
      </c>
      <c r="S8" s="53">
        <f t="shared" si="3"/>
        <v>63492.565596090222</v>
      </c>
      <c r="T8" s="53">
        <f t="shared" si="3"/>
        <v>73317.350753195657</v>
      </c>
      <c r="U8" s="53">
        <f t="shared" si="3"/>
        <v>65193.428104346487</v>
      </c>
      <c r="V8" s="53">
        <f t="shared" si="3"/>
        <v>67926.465631514759</v>
      </c>
      <c r="W8" s="53">
        <f t="shared" si="3"/>
        <v>69187.424082225742</v>
      </c>
      <c r="X8" s="53">
        <f t="shared" si="3"/>
        <v>75778.205811762018</v>
      </c>
      <c r="Y8" s="53">
        <f t="shared" si="3"/>
        <v>76263.976682961234</v>
      </c>
      <c r="Z8" s="53">
        <f t="shared" si="3"/>
        <v>78473.279363456764</v>
      </c>
      <c r="AA8" s="53">
        <f t="shared" si="3"/>
        <v>94503.580706860695</v>
      </c>
      <c r="AB8" s="53">
        <f t="shared" si="3"/>
        <v>82666.715503416446</v>
      </c>
      <c r="AC8" s="53">
        <f t="shared" si="3"/>
        <v>85238.577127968703</v>
      </c>
      <c r="AD8" s="53">
        <f t="shared" si="3"/>
        <v>85757.869349802437</v>
      </c>
      <c r="AE8" s="53">
        <f t="shared" si="3"/>
        <v>88549.574821635862</v>
      </c>
      <c r="AF8" s="53">
        <f t="shared" si="3"/>
        <v>94028.458118409515</v>
      </c>
      <c r="AG8" s="53">
        <f t="shared" si="3"/>
        <v>115850.79338229579</v>
      </c>
      <c r="AH8" s="53">
        <f>AH9+AH21</f>
        <v>100112.59756965554</v>
      </c>
      <c r="AI8" s="53">
        <f>AI9+AI21</f>
        <v>97868.419019096676</v>
      </c>
      <c r="AJ8" s="53">
        <f>AJ9+AJ21</f>
        <v>99452.190044308314</v>
      </c>
      <c r="AK8" s="53">
        <f>AK9+AK21</f>
        <v>106395.47819394918</v>
      </c>
      <c r="AL8" s="53">
        <f>AL9+AL21</f>
        <v>104723.01238859404</v>
      </c>
    </row>
    <row r="9" spans="2:38" ht="18" customHeight="1">
      <c r="B9" s="158" t="s">
        <v>102</v>
      </c>
      <c r="C9" s="168">
        <f t="shared" si="0"/>
        <v>2259452.2174540055</v>
      </c>
      <c r="D9" s="40">
        <f>SUM(D10:D20)</f>
        <v>12708.10588801345</v>
      </c>
      <c r="E9" s="40">
        <f t="shared" ref="E9:AG9" si="4">SUM(E10:E20)</f>
        <v>17888.181316817871</v>
      </c>
      <c r="F9" s="40">
        <f t="shared" si="4"/>
        <v>29869.10375265437</v>
      </c>
      <c r="G9" s="40">
        <f t="shared" si="4"/>
        <v>34295.069856615271</v>
      </c>
      <c r="H9" s="40">
        <f t="shared" si="4"/>
        <v>37150.223954339381</v>
      </c>
      <c r="I9" s="40">
        <f t="shared" si="4"/>
        <v>38477.734088940473</v>
      </c>
      <c r="J9" s="40">
        <f t="shared" si="4"/>
        <v>40187.287962470044</v>
      </c>
      <c r="K9" s="40">
        <f t="shared" si="4"/>
        <v>41999.950877184674</v>
      </c>
      <c r="L9" s="40">
        <f t="shared" si="4"/>
        <v>42569.705007035271</v>
      </c>
      <c r="M9" s="40">
        <f t="shared" si="4"/>
        <v>44810.909096199481</v>
      </c>
      <c r="N9" s="40">
        <f t="shared" si="4"/>
        <v>43843.771582576293</v>
      </c>
      <c r="O9" s="40">
        <f t="shared" si="4"/>
        <v>53240.787187966955</v>
      </c>
      <c r="P9" s="40">
        <f t="shared" si="4"/>
        <v>55839.070147554434</v>
      </c>
      <c r="Q9" s="40">
        <f t="shared" si="4"/>
        <v>58141.83415066501</v>
      </c>
      <c r="R9" s="40">
        <f t="shared" si="4"/>
        <v>59121.663225767225</v>
      </c>
      <c r="S9" s="40">
        <f t="shared" si="4"/>
        <v>61870.984207027723</v>
      </c>
      <c r="T9" s="40">
        <f t="shared" si="4"/>
        <v>63283.127854819861</v>
      </c>
      <c r="U9" s="40">
        <f t="shared" si="4"/>
        <v>65193.428104346487</v>
      </c>
      <c r="V9" s="40">
        <f t="shared" si="4"/>
        <v>66093.900987407338</v>
      </c>
      <c r="W9" s="40">
        <f t="shared" si="4"/>
        <v>69187.424082225742</v>
      </c>
      <c r="X9" s="40">
        <f t="shared" si="4"/>
        <v>72656.440464887026</v>
      </c>
      <c r="Y9" s="40">
        <f t="shared" si="4"/>
        <v>75446.745493898736</v>
      </c>
      <c r="Z9" s="40">
        <f t="shared" si="4"/>
        <v>78327.621763456758</v>
      </c>
      <c r="AA9" s="40">
        <f t="shared" si="4"/>
        <v>80720.942750057962</v>
      </c>
      <c r="AB9" s="40">
        <f t="shared" si="4"/>
        <v>82021.359514353942</v>
      </c>
      <c r="AC9" s="40">
        <f t="shared" si="4"/>
        <v>84429.819127968702</v>
      </c>
      <c r="AD9" s="40">
        <f t="shared" si="4"/>
        <v>85296.80874980244</v>
      </c>
      <c r="AE9" s="40">
        <f t="shared" si="4"/>
        <v>88049.876432573365</v>
      </c>
      <c r="AF9" s="40">
        <f t="shared" si="4"/>
        <v>91192.566782114591</v>
      </c>
      <c r="AG9" s="40">
        <f t="shared" si="4"/>
        <v>94315.409882295789</v>
      </c>
      <c r="AH9" s="40">
        <f>SUM(AH10:AH20)</f>
        <v>95329.873245632101</v>
      </c>
      <c r="AI9" s="40">
        <f>SUM(AI10:AI20)</f>
        <v>97868.419019096676</v>
      </c>
      <c r="AJ9" s="40">
        <f>SUM(AJ10:AJ20)</f>
        <v>99306.532444308308</v>
      </c>
      <c r="AK9" s="40">
        <f>SUM(AK10:AK20)</f>
        <v>100824.66356083746</v>
      </c>
      <c r="AL9" s="40">
        <f>SUM(AL10:AL20)</f>
        <v>97892.874892094042</v>
      </c>
    </row>
    <row r="10" spans="2:38" ht="18" customHeight="1">
      <c r="B10" s="157" t="s">
        <v>101</v>
      </c>
      <c r="C10" s="169">
        <f t="shared" si="0"/>
        <v>555533.45537539967</v>
      </c>
      <c r="D10" s="49">
        <f>QDK!D13</f>
        <v>7455.8457163747034</v>
      </c>
      <c r="E10" s="49">
        <f>QDK!E13</f>
        <v>9922.863516580006</v>
      </c>
      <c r="F10" s="49">
        <f>QDK!F13</f>
        <v>12321.595480450731</v>
      </c>
      <c r="G10" s="49">
        <f>QDK!G13</f>
        <v>12682.523364228677</v>
      </c>
      <c r="H10" s="49">
        <f>QDK!H13</f>
        <v>12761.712849421538</v>
      </c>
      <c r="I10" s="49">
        <f>QDK!I13</f>
        <v>12875.347534140599</v>
      </c>
      <c r="J10" s="49">
        <f>QDK!J13</f>
        <v>12979.233453086083</v>
      </c>
      <c r="K10" s="49">
        <f>QDK!K13</f>
        <v>13082.453213821447</v>
      </c>
      <c r="L10" s="49">
        <f>QDK!L13</f>
        <v>13400.647708165157</v>
      </c>
      <c r="M10" s="49">
        <f>QDK!M13</f>
        <v>13506.805895015372</v>
      </c>
      <c r="N10" s="49">
        <f>QDK!N13</f>
        <v>13683.354426034399</v>
      </c>
      <c r="O10" s="49">
        <f>QDK!O13</f>
        <v>13859.607490079939</v>
      </c>
      <c r="P10" s="49">
        <f>QDK!P13</f>
        <v>14034.809669827671</v>
      </c>
      <c r="Q10" s="49">
        <f>QDK!Q13</f>
        <v>14208.340441234743</v>
      </c>
      <c r="R10" s="49">
        <f>QDK!R13</f>
        <v>14811.531761109753</v>
      </c>
      <c r="S10" s="49">
        <f>QDK!S13</f>
        <v>15504.440541601485</v>
      </c>
      <c r="T10" s="49">
        <f>QDK!T13</f>
        <v>15681.048116952637</v>
      </c>
      <c r="U10" s="49">
        <f>QDK!U13</f>
        <v>15854.650121104696</v>
      </c>
      <c r="V10" s="49">
        <f>QDK!V13</f>
        <v>16025.393135193557</v>
      </c>
      <c r="W10" s="49">
        <f>QDK!W13</f>
        <v>16195.890416402099</v>
      </c>
      <c r="X10" s="49">
        <f>QDK!X13</f>
        <v>17486.588340631086</v>
      </c>
      <c r="Y10" s="49">
        <f>QDK!Y13</f>
        <v>17724.098651725501</v>
      </c>
      <c r="Z10" s="49">
        <f>QDK!Z13</f>
        <v>17956.765442127107</v>
      </c>
      <c r="AA10" s="49">
        <f>QDK!AA13</f>
        <v>18184.45332274575</v>
      </c>
      <c r="AB10" s="49">
        <f>QDK!AB13</f>
        <v>18407.004305323651</v>
      </c>
      <c r="AC10" s="49">
        <f>QDK!AC13</f>
        <v>18624.207794792401</v>
      </c>
      <c r="AD10" s="49">
        <f>QDK!AD13</f>
        <v>18835.79255388027</v>
      </c>
      <c r="AE10" s="49">
        <f>QDK!AE13</f>
        <v>19041.457643620968</v>
      </c>
      <c r="AF10" s="49">
        <f>QDK!AF13</f>
        <v>19240.826766946637</v>
      </c>
      <c r="AG10" s="49">
        <f>QDK!AG13</f>
        <v>19433.520296761293</v>
      </c>
      <c r="AH10" s="49">
        <f>QDK!AH13</f>
        <v>19619.167915325561</v>
      </c>
      <c r="AI10" s="49">
        <f>QDK!AI13</f>
        <v>19797.383750828383</v>
      </c>
      <c r="AJ10" s="49">
        <f>QDK!AJ13</f>
        <v>19967.8495920323</v>
      </c>
      <c r="AK10" s="49">
        <f>QDK!AK13</f>
        <v>20130.505674329655</v>
      </c>
      <c r="AL10" s="49">
        <f>QDK!AL13</f>
        <v>20235.738473503752</v>
      </c>
    </row>
    <row r="11" spans="2:38" ht="18" customHeight="1">
      <c r="B11" s="157" t="s">
        <v>114</v>
      </c>
      <c r="C11" s="169">
        <f t="shared" si="0"/>
        <v>175094.08766201604</v>
      </c>
      <c r="D11" s="49">
        <f>QDK!D14</f>
        <v>532.38852659932547</v>
      </c>
      <c r="E11" s="49">
        <f>QDK!E14</f>
        <v>2378.4067906892178</v>
      </c>
      <c r="F11" s="49">
        <f>QDK!F14</f>
        <v>3046.9095942757403</v>
      </c>
      <c r="G11" s="49">
        <f>QDK!G14</f>
        <v>3216.6593345233232</v>
      </c>
      <c r="H11" s="49">
        <f>QDK!H14</f>
        <v>4358.5917987597431</v>
      </c>
      <c r="I11" s="49">
        <f>QDK!I14</f>
        <v>4397.402200679544</v>
      </c>
      <c r="J11" s="49">
        <f>QDK!J14</f>
        <v>4432.8830424493799</v>
      </c>
      <c r="K11" s="49">
        <f>QDK!K14</f>
        <v>4468.1363668204503</v>
      </c>
      <c r="L11" s="49">
        <f>QDK!L14</f>
        <v>4503.7080523759996</v>
      </c>
      <c r="M11" s="49">
        <f>QDK!M14</f>
        <v>4539.3878566308413</v>
      </c>
      <c r="N11" s="49">
        <f>QDK!N14</f>
        <v>4598.7133687048117</v>
      </c>
      <c r="O11" s="49">
        <f>QDK!O14</f>
        <v>4887.5531848316696</v>
      </c>
      <c r="P11" s="49">
        <f>QDK!P14</f>
        <v>4949.3377607822076</v>
      </c>
      <c r="Q11" s="49">
        <f>QDK!Q14</f>
        <v>5010.5329190912707</v>
      </c>
      <c r="R11" s="49">
        <f>QDK!R14</f>
        <v>5070.9497605854531</v>
      </c>
      <c r="S11" s="49">
        <f>QDK!S14</f>
        <v>5130.4150343475194</v>
      </c>
      <c r="T11" s="49">
        <f>QDK!T14</f>
        <v>5188.854431585366</v>
      </c>
      <c r="U11" s="49">
        <f>QDK!U14</f>
        <v>5246.2992861549201</v>
      </c>
      <c r="V11" s="49">
        <f>QDK!V14</f>
        <v>5302.7981017130096</v>
      </c>
      <c r="W11" s="49">
        <f>QDK!W14</f>
        <v>5359.2156043298</v>
      </c>
      <c r="X11" s="49">
        <f>QDK!X14</f>
        <v>5434.5082326517668</v>
      </c>
      <c r="Y11" s="49">
        <f>QDK!Y14</f>
        <v>5508.3220444622248</v>
      </c>
      <c r="Z11" s="49">
        <f>QDK!Z14</f>
        <v>5580.6305796248107</v>
      </c>
      <c r="AA11" s="49">
        <f>QDK!AA14</f>
        <v>5651.3917617143979</v>
      </c>
      <c r="AB11" s="49">
        <f>QDK!AB14</f>
        <v>5720.5564909025434</v>
      </c>
      <c r="AC11" s="49">
        <f>QDK!AC14</f>
        <v>5788.059318137055</v>
      </c>
      <c r="AD11" s="49">
        <f>QDK!AD14</f>
        <v>5853.81594789055</v>
      </c>
      <c r="AE11" s="49">
        <f>QDK!AE14</f>
        <v>5917.7328538983302</v>
      </c>
      <c r="AF11" s="49">
        <f>QDK!AF14</f>
        <v>5979.6930899915205</v>
      </c>
      <c r="AG11" s="49">
        <f>QDK!AG14</f>
        <v>6039.5786750900879</v>
      </c>
      <c r="AH11" s="49">
        <f>QDK!AH14</f>
        <v>6097.2745212898553</v>
      </c>
      <c r="AI11" s="49">
        <f>QDK!AI14</f>
        <v>6152.6607067688492</v>
      </c>
      <c r="AJ11" s="49">
        <f>QDK!AJ14</f>
        <v>6205.638337359951</v>
      </c>
      <c r="AK11" s="49">
        <f>QDK!AK14</f>
        <v>6256.1888393284753</v>
      </c>
      <c r="AL11" s="49">
        <f>QDK!AL14</f>
        <v>6288.8932469760093</v>
      </c>
    </row>
    <row r="12" spans="2:38" ht="18" customHeight="1">
      <c r="B12" s="157" t="s">
        <v>115</v>
      </c>
      <c r="C12" s="169">
        <f t="shared" si="0"/>
        <v>21896.667300547972</v>
      </c>
      <c r="D12" s="49">
        <f>QDK!D15</f>
        <v>118.76522981437165</v>
      </c>
      <c r="E12" s="49">
        <f>QDK!E15</f>
        <v>197.05582360801702</v>
      </c>
      <c r="F12" s="49">
        <f>QDK!F15</f>
        <v>303.8858281125481</v>
      </c>
      <c r="G12" s="49">
        <f>QDK!G15</f>
        <v>687.68298373774769</v>
      </c>
      <c r="H12" s="49">
        <f>QDK!H15</f>
        <v>571.60816320478921</v>
      </c>
      <c r="I12" s="49">
        <f>QDK!I15</f>
        <v>695.89063470170402</v>
      </c>
      <c r="J12" s="49">
        <f>QDK!J15</f>
        <v>640.86064606995956</v>
      </c>
      <c r="K12" s="49">
        <f>QDK!K15</f>
        <v>543.2823971160982</v>
      </c>
      <c r="L12" s="49">
        <f>QDK!L15</f>
        <v>723.73892834590288</v>
      </c>
      <c r="M12" s="49">
        <f>QDK!M15</f>
        <v>636.03212685933693</v>
      </c>
      <c r="N12" s="49">
        <f>QDK!N15</f>
        <v>628.52976744456009</v>
      </c>
      <c r="O12" s="49">
        <f>QDK!O15</f>
        <v>637.88683734361905</v>
      </c>
      <c r="P12" s="49">
        <f>QDK!P15</f>
        <v>643.852989950081</v>
      </c>
      <c r="Q12" s="49">
        <f>QDK!Q15</f>
        <v>543.42308677105757</v>
      </c>
      <c r="R12" s="49">
        <f>QDK!R15</f>
        <v>566.04252592195132</v>
      </c>
      <c r="S12" s="49">
        <f>QDK!S15</f>
        <v>574.35477704955088</v>
      </c>
      <c r="T12" s="49">
        <f>QDK!T15</f>
        <v>596.7400435757861</v>
      </c>
      <c r="U12" s="49">
        <f>QDK!U15</f>
        <v>603.3464430173226</v>
      </c>
      <c r="V12" s="49">
        <f>QDK!V15</f>
        <v>609.84404400086248</v>
      </c>
      <c r="W12" s="49">
        <f>QDK!W15</f>
        <v>616.33229365478348</v>
      </c>
      <c r="X12" s="49">
        <f>QDK!X15</f>
        <v>647.42749585441584</v>
      </c>
      <c r="Y12" s="49">
        <f>QDK!Y15</f>
        <v>673.03947143242544</v>
      </c>
      <c r="Z12" s="49">
        <f>QDK!Z15</f>
        <v>681.87455730668125</v>
      </c>
      <c r="AA12" s="49">
        <f>QDK!AA15</f>
        <v>690.5205784011431</v>
      </c>
      <c r="AB12" s="49">
        <f>QDK!AB15</f>
        <v>698.97153540743443</v>
      </c>
      <c r="AC12" s="49">
        <f>QDK!AC15</f>
        <v>689.54698194831383</v>
      </c>
      <c r="AD12" s="49">
        <f>QDK!AD15</f>
        <v>715.25396656716441</v>
      </c>
      <c r="AE12" s="49">
        <f>QDK!AE15</f>
        <v>723.06371339892803</v>
      </c>
      <c r="AF12" s="49">
        <f>QDK!AF15</f>
        <v>730.63438269048004</v>
      </c>
      <c r="AG12" s="49">
        <f>QDK!AG15</f>
        <v>737.95155881341248</v>
      </c>
      <c r="AH12" s="49">
        <f>QDK!AH15</f>
        <v>726.38461584028551</v>
      </c>
      <c r="AI12" s="49">
        <f>QDK!AI15</f>
        <v>751.76859242459989</v>
      </c>
      <c r="AJ12" s="49">
        <f>QDK!AJ15</f>
        <v>758.24171367694612</v>
      </c>
      <c r="AK12" s="49">
        <f>QDK!AK15</f>
        <v>764.41827395263738</v>
      </c>
      <c r="AL12" s="49">
        <f>QDK!AL15</f>
        <v>768.41429253305728</v>
      </c>
    </row>
    <row r="13" spans="2:38" ht="18" customHeight="1">
      <c r="B13" s="157" t="s">
        <v>116</v>
      </c>
      <c r="C13" s="169">
        <f t="shared" si="0"/>
        <v>70141.1622150115</v>
      </c>
      <c r="D13" s="49">
        <f>QDK!D16</f>
        <v>562.10918400000014</v>
      </c>
      <c r="E13" s="49">
        <f>QDK!E16</f>
        <v>1294.3371770228121</v>
      </c>
      <c r="F13" s="49">
        <f>QDK!F16</f>
        <v>1598.1340522373409</v>
      </c>
      <c r="G13" s="49">
        <f>QDK!G16</f>
        <v>1643.1975143773714</v>
      </c>
      <c r="H13" s="49">
        <f>QDK!H16</f>
        <v>1661.3973569961843</v>
      </c>
      <c r="I13" s="49">
        <f>QDK!I16</f>
        <v>1684.4760694446877</v>
      </c>
      <c r="J13" s="49">
        <f>QDK!J16</f>
        <v>1706.6612181419064</v>
      </c>
      <c r="K13" s="49">
        <f>QDK!K16</f>
        <v>1729.0999239654764</v>
      </c>
      <c r="L13" s="49">
        <f>QDK!L16</f>
        <v>1751.9636027797314</v>
      </c>
      <c r="M13" s="49">
        <f>QDK!M16</f>
        <v>1775.126297032225</v>
      </c>
      <c r="N13" s="49">
        <f>QDK!N16</f>
        <v>1807.7967962140203</v>
      </c>
      <c r="O13" s="49">
        <f>QDK!O16</f>
        <v>1840.6791721804709</v>
      </c>
      <c r="P13" s="49">
        <f>QDK!P16</f>
        <v>1873.6127142145867</v>
      </c>
      <c r="Q13" s="49">
        <f>QDK!Q16</f>
        <v>1906.4481506855027</v>
      </c>
      <c r="R13" s="49">
        <f>QDK!R16</f>
        <v>1939.042149555642</v>
      </c>
      <c r="S13" s="49">
        <f>QDK!S16</f>
        <v>1971.2530383583849</v>
      </c>
      <c r="T13" s="49">
        <f>QDK!T16</f>
        <v>2002.9741368200482</v>
      </c>
      <c r="U13" s="49">
        <f>QDK!U16</f>
        <v>2034.1383319374229</v>
      </c>
      <c r="V13" s="49">
        <f>QDK!V16</f>
        <v>2064.6856106342325</v>
      </c>
      <c r="W13" s="49">
        <f>QDK!W16</f>
        <v>2094.87657996189</v>
      </c>
      <c r="X13" s="49">
        <f>QDK!X16</f>
        <v>2132.0768613663517</v>
      </c>
      <c r="Y13" s="49">
        <f>QDK!Y16</f>
        <v>2168.2804947669665</v>
      </c>
      <c r="Z13" s="49">
        <f>QDK!Z16</f>
        <v>2203.3999793672383</v>
      </c>
      <c r="AA13" s="49">
        <f>QDK!AA16</f>
        <v>2237.3464964119662</v>
      </c>
      <c r="AB13" s="49">
        <f>QDK!AB16</f>
        <v>2270.0342245849902</v>
      </c>
      <c r="AC13" s="49">
        <f>QDK!AC16</f>
        <v>2301.3774947374854</v>
      </c>
      <c r="AD13" s="49">
        <f>QDK!AD16</f>
        <v>2331.290518612358</v>
      </c>
      <c r="AE13" s="49">
        <f>QDK!AE16</f>
        <v>2359.6918382708609</v>
      </c>
      <c r="AF13" s="49">
        <f>QDK!AF16</f>
        <v>2386.4991895008138</v>
      </c>
      <c r="AG13" s="49">
        <f>QDK!AG16</f>
        <v>2411.6388183547347</v>
      </c>
      <c r="AH13" s="49">
        <f>QDK!AH16</f>
        <v>2435.9169870672567</v>
      </c>
      <c r="AI13" s="49">
        <f>QDK!AI16</f>
        <v>2459.2839591489887</v>
      </c>
      <c r="AJ13" s="49">
        <f>QDK!AJ16</f>
        <v>2481.6983315384309</v>
      </c>
      <c r="AK13" s="49">
        <f>QDK!AK16</f>
        <v>2503.1507817866095</v>
      </c>
      <c r="AL13" s="49">
        <f>QDK!AL16</f>
        <v>2517.4671629365248</v>
      </c>
    </row>
    <row r="14" spans="2:38" ht="18" customHeight="1">
      <c r="B14" s="157" t="s">
        <v>117</v>
      </c>
      <c r="C14" s="169">
        <f t="shared" si="0"/>
        <v>204993.83585308053</v>
      </c>
      <c r="D14" s="49">
        <f>QDK!D17-SUM(QDF!E4:E5)</f>
        <v>3459.9572243151924</v>
      </c>
      <c r="E14" s="49">
        <f>QDK!E17-SUM(QDF!F4:F5)</f>
        <v>3316.7292227386934</v>
      </c>
      <c r="F14" s="49">
        <f>QDK!F17-SUM(QDF!G4:G5)</f>
        <v>4242.2781619012985</v>
      </c>
      <c r="G14" s="49">
        <f>QDK!G17-SUM(QDF!H4:H5)</f>
        <v>4786.2298379275198</v>
      </c>
      <c r="H14" s="49">
        <f>QDK!H17-SUM(QDF!I4:I5)</f>
        <v>4930.9333308119467</v>
      </c>
      <c r="I14" s="49">
        <f>QDK!I17-SUM(QDF!J4:J5)</f>
        <v>4936.8541205315132</v>
      </c>
      <c r="J14" s="49">
        <f>QDK!J17-SUM(QDF!K4:K5)</f>
        <v>4965.7241270830964</v>
      </c>
      <c r="K14" s="49">
        <f>QDK!K17-SUM(QDF!L4:L5)</f>
        <v>5061.284991843605</v>
      </c>
      <c r="L14" s="49">
        <f>QDK!L17-SUM(QDF!M4:M5)</f>
        <v>5109.5328601337969</v>
      </c>
      <c r="M14" s="49">
        <f>QDK!M17-SUM(QDF!N4:N5)</f>
        <v>5201.3323989291948</v>
      </c>
      <c r="N14" s="49">
        <f>QDK!N17-SUM(QDF!O4:O5)</f>
        <v>5265.4839318013637</v>
      </c>
      <c r="O14" s="49">
        <f>QDK!O17-SUM(QDF!P4:P5)</f>
        <v>5329.3540538656125</v>
      </c>
      <c r="P14" s="49">
        <f>QDK!P17-SUM(QDF!Q4:Q5)</f>
        <v>5386.3972891631192</v>
      </c>
      <c r="Q14" s="49">
        <f>QDK!Q17-SUM(QDF!R4:R5)</f>
        <v>5514.0018512131155</v>
      </c>
      <c r="R14" s="49">
        <f>QDK!R17-SUM(QDF!S4:S5)</f>
        <v>5661.2908632012068</v>
      </c>
      <c r="S14" s="49">
        <f>QDK!S17-SUM(QDF!T4:T5)</f>
        <v>5653.4192457540357</v>
      </c>
      <c r="T14" s="49">
        <f>QDK!T17-SUM(QDF!U4:U5)</f>
        <v>5783.8023531279969</v>
      </c>
      <c r="U14" s="49">
        <f>QDK!U17-SUM(QDF!V4:V5)</f>
        <v>5846.3947932214041</v>
      </c>
      <c r="V14" s="49">
        <f>QDK!V17-SUM(QDF!W4:W5)</f>
        <v>5900.8074621785472</v>
      </c>
      <c r="W14" s="49">
        <f>QDK!W17-SUM(QDF!X4:X5)</f>
        <v>6100.4805918775555</v>
      </c>
      <c r="X14" s="49">
        <f>QDK!X17-SUM(QDF!Y4:Y5)</f>
        <v>6160.9188827995777</v>
      </c>
      <c r="Y14" s="49">
        <f>QDK!Y17-SUM(QDF!Z4:Z5)</f>
        <v>6235.1417213526738</v>
      </c>
      <c r="Z14" s="49">
        <f>QDK!Z17-SUM(QDF!AA4:AA5)</f>
        <v>6386.7981585723001</v>
      </c>
      <c r="AA14" s="49">
        <f>QDK!AA17-SUM(QDF!AB4:AB5)</f>
        <v>6464.5095047149462</v>
      </c>
      <c r="AB14" s="49">
        <f>QDK!AB17-SUM(QDF!AC4:AC5)</f>
        <v>6606.5327325414219</v>
      </c>
      <c r="AC14" s="49">
        <f>QDK!AC17-SUM(QDF!AD4:AD5)</f>
        <v>6678.8811604938846</v>
      </c>
      <c r="AD14" s="49">
        <f>QDK!AD17-SUM(QDF!AE4:AE5)</f>
        <v>6748.594355543104</v>
      </c>
      <c r="AE14" s="49">
        <f>QDK!AE17-SUM(QDF!AF4:AF5)</f>
        <v>6807.8273470165968</v>
      </c>
      <c r="AF14" s="49">
        <f>QDK!AF17-SUM(QDF!AG4:AG5)</f>
        <v>6949.1795984253249</v>
      </c>
      <c r="AG14" s="49">
        <f>QDK!AG17-SUM(QDF!AH4:AH5)</f>
        <v>7089.0114821535099</v>
      </c>
      <c r="AH14" s="49">
        <f>QDK!AH17-SUM(QDF!AI4:AI5)</f>
        <v>7067.2501157482529</v>
      </c>
      <c r="AI14" s="49">
        <f>QDK!AI17-SUM(QDF!AJ4:AJ5)</f>
        <v>7208.8814446938477</v>
      </c>
      <c r="AJ14" s="49">
        <f>QDK!AJ17-SUM(QDF!AK4:AK5)</f>
        <v>7268.9418525413548</v>
      </c>
      <c r="AK14" s="49">
        <f>QDK!AK17-SUM(QDF!AL4:AL5)</f>
        <v>7318.3359002576935</v>
      </c>
      <c r="AL14" s="49">
        <f>QDK!AL17-SUM(QDF!AM4:AM5)</f>
        <v>7550.7428846062176</v>
      </c>
    </row>
    <row r="15" spans="2:38" ht="18" customHeight="1">
      <c r="B15" s="157" t="s">
        <v>118</v>
      </c>
      <c r="C15" s="169">
        <f t="shared" si="0"/>
        <v>39624.86207868177</v>
      </c>
      <c r="D15" s="49">
        <f>QDK!D18</f>
        <v>579.04000690985606</v>
      </c>
      <c r="E15" s="49">
        <f>QDK!E18</f>
        <v>778.78878617912414</v>
      </c>
      <c r="F15" s="49">
        <f>QDK!F18</f>
        <v>879.63322463950726</v>
      </c>
      <c r="G15" s="49">
        <f>QDK!G18</f>
        <v>893.83273721416685</v>
      </c>
      <c r="H15" s="49">
        <f>QDK!H18</f>
        <v>906.83351919633242</v>
      </c>
      <c r="I15" s="49">
        <f>QDK!I18</f>
        <v>921.04600512168372</v>
      </c>
      <c r="J15" s="49">
        <f>QDK!J18</f>
        <v>936.10340478264834</v>
      </c>
      <c r="K15" s="49">
        <f>QDK!K18</f>
        <v>951.2715480503432</v>
      </c>
      <c r="L15" s="49">
        <f>QDK!L18</f>
        <v>967.99058941989756</v>
      </c>
      <c r="M15" s="49">
        <f>QDK!M18</f>
        <v>986.05011758016906</v>
      </c>
      <c r="N15" s="49">
        <f>QDK!N18</f>
        <v>1001.5359353221106</v>
      </c>
      <c r="O15" s="49">
        <f>QDK!O18</f>
        <v>1019.8172003951441</v>
      </c>
      <c r="P15" s="49">
        <f>QDK!P18</f>
        <v>1033.2780031771067</v>
      </c>
      <c r="Q15" s="49">
        <f>QDK!Q18</f>
        <v>1047.3219420474807</v>
      </c>
      <c r="R15" s="49">
        <f>QDK!R18</f>
        <v>1084.4847415249133</v>
      </c>
      <c r="S15" s="49">
        <f>QDK!S18</f>
        <v>1101.5342917789808</v>
      </c>
      <c r="T15" s="49">
        <f>QDK!T18</f>
        <v>1121.95822773891</v>
      </c>
      <c r="U15" s="49">
        <f>QDK!U18</f>
        <v>1137.9216847013745</v>
      </c>
      <c r="V15" s="49">
        <f>QDK!V18</f>
        <v>1154.565801921568</v>
      </c>
      <c r="W15" s="49">
        <f>QDK!W18</f>
        <v>1171.1086484229825</v>
      </c>
      <c r="X15" s="49">
        <f>QDK!X18</f>
        <v>1186.1296841306043</v>
      </c>
      <c r="Y15" s="49">
        <f>QDK!Y18</f>
        <v>1208.2154799665514</v>
      </c>
      <c r="Z15" s="49">
        <f>QDK!Z18</f>
        <v>1225.1143614668986</v>
      </c>
      <c r="AA15" s="49">
        <f>QDK!AA18</f>
        <v>1242.9716362817953</v>
      </c>
      <c r="AB15" s="49">
        <f>QDK!AB18</f>
        <v>1284.2717199999995</v>
      </c>
      <c r="AC15" s="49">
        <f>QDK!AC18</f>
        <v>1301.1084112932538</v>
      </c>
      <c r="AD15" s="49">
        <f>QDK!AD18</f>
        <v>1319.71243838908</v>
      </c>
      <c r="AE15" s="49">
        <f>QDK!AE18</f>
        <v>1333.2013257440817</v>
      </c>
      <c r="AF15" s="49">
        <f>QDK!AF18</f>
        <v>1348.5551039311451</v>
      </c>
      <c r="AG15" s="49">
        <f>QDK!AG18</f>
        <v>1368.3792121635672</v>
      </c>
      <c r="AH15" s="49">
        <f>QDK!AH18</f>
        <v>1384.8390741992059</v>
      </c>
      <c r="AI15" s="49">
        <f>QDK!AI18</f>
        <v>1409.3861456392517</v>
      </c>
      <c r="AJ15" s="49">
        <f>QDK!AJ18</f>
        <v>1428.4232745670618</v>
      </c>
      <c r="AK15" s="49">
        <f>QDK!AK18</f>
        <v>1443.9369527639187</v>
      </c>
      <c r="AL15" s="49">
        <f>QDK!AL18</f>
        <v>1466.5008420210522</v>
      </c>
    </row>
    <row r="16" spans="2:38" ht="18" customHeight="1">
      <c r="B16" s="157" t="s">
        <v>119</v>
      </c>
      <c r="C16" s="169">
        <f t="shared" si="0"/>
        <v>31457.211819628668</v>
      </c>
      <c r="D16" s="49">
        <f>QDK!D19</f>
        <v>0</v>
      </c>
      <c r="E16" s="49">
        <f>QDK!E19</f>
        <v>0</v>
      </c>
      <c r="F16" s="49">
        <f>QDK!F19</f>
        <v>0</v>
      </c>
      <c r="G16" s="49">
        <f>QDK!G19</f>
        <v>177.2835071616953</v>
      </c>
      <c r="H16" s="49">
        <f>QDK!H19</f>
        <v>34.353098634574515</v>
      </c>
      <c r="I16" s="49">
        <f>QDK!I19</f>
        <v>120.20703301452086</v>
      </c>
      <c r="J16" s="49">
        <f>QDK!J19</f>
        <v>652.98667391136951</v>
      </c>
      <c r="K16" s="49">
        <f>QDK!K19</f>
        <v>1003.0068002534191</v>
      </c>
      <c r="L16" s="49">
        <f>QDK!L19</f>
        <v>1192.0338393047221</v>
      </c>
      <c r="M16" s="49">
        <f>QDK!M19</f>
        <v>1047.1305512858844</v>
      </c>
      <c r="N16" s="49">
        <f>QDK!N19</f>
        <v>807.3888863214562</v>
      </c>
      <c r="O16" s="49">
        <f>QDK!O19</f>
        <v>587.27278727656676</v>
      </c>
      <c r="P16" s="49">
        <f>QDK!P19</f>
        <v>805.42256776777288</v>
      </c>
      <c r="Q16" s="49">
        <f>QDK!Q19</f>
        <v>1137.733003395304</v>
      </c>
      <c r="R16" s="49">
        <f>QDK!R19</f>
        <v>1137.733003395304</v>
      </c>
      <c r="S16" s="49">
        <f>QDK!S19</f>
        <v>1137.733003395304</v>
      </c>
      <c r="T16" s="49">
        <f>QDK!T19</f>
        <v>1137.733003395304</v>
      </c>
      <c r="U16" s="49">
        <f>QDK!U19</f>
        <v>1137.733003395304</v>
      </c>
      <c r="V16" s="49">
        <f>QDK!V19</f>
        <v>1137.733003395304</v>
      </c>
      <c r="W16" s="49">
        <f>QDK!W19</f>
        <v>1137.733003395304</v>
      </c>
      <c r="X16" s="49">
        <f>QDK!X19</f>
        <v>1137.733003395304</v>
      </c>
      <c r="Y16" s="49">
        <f>QDK!Y19</f>
        <v>1137.733003395304</v>
      </c>
      <c r="Z16" s="49">
        <f>QDK!Z19</f>
        <v>1137.733003395304</v>
      </c>
      <c r="AA16" s="49">
        <f>QDK!AA19</f>
        <v>1137.733003395304</v>
      </c>
      <c r="AB16" s="49">
        <f>QDK!AB19</f>
        <v>1137.733003395304</v>
      </c>
      <c r="AC16" s="49">
        <f>QDK!AC19</f>
        <v>1137.733003395304</v>
      </c>
      <c r="AD16" s="49">
        <f>QDK!AD19</f>
        <v>1137.733003395304</v>
      </c>
      <c r="AE16" s="49">
        <f>QDK!AE19</f>
        <v>1137.733003395304</v>
      </c>
      <c r="AF16" s="49">
        <f>QDK!AF19</f>
        <v>1137.733003395304</v>
      </c>
      <c r="AG16" s="49">
        <f>QDK!AG19</f>
        <v>1137.733003395304</v>
      </c>
      <c r="AH16" s="49">
        <f>QDK!AH19</f>
        <v>1137.733003395304</v>
      </c>
      <c r="AI16" s="49">
        <f>QDK!AI19</f>
        <v>1137.733003395304</v>
      </c>
      <c r="AJ16" s="49">
        <f>QDK!AJ19</f>
        <v>1137.733003395304</v>
      </c>
      <c r="AK16" s="49">
        <f>QDK!AK19</f>
        <v>1137.733003395304</v>
      </c>
      <c r="AL16" s="49">
        <f>QDK!AL19</f>
        <v>1137.733003395304</v>
      </c>
    </row>
    <row r="17" spans="2:38" ht="18" customHeight="1">
      <c r="B17" s="157" t="s">
        <v>396</v>
      </c>
      <c r="C17" s="169">
        <f t="shared" si="0"/>
        <v>165139.86915065369</v>
      </c>
      <c r="D17" s="49">
        <f>QDD!D46</f>
        <v>0</v>
      </c>
      <c r="E17" s="49">
        <f>QDD!E46</f>
        <v>0</v>
      </c>
      <c r="F17" s="49">
        <f>QDD!F46</f>
        <v>3600.1264207519321</v>
      </c>
      <c r="G17" s="49">
        <f>QDD!G46</f>
        <v>4315.3909324370561</v>
      </c>
      <c r="H17" s="49">
        <f>QDD!H46</f>
        <v>4968.0138460749204</v>
      </c>
      <c r="I17" s="49">
        <f>QDD!I46</f>
        <v>5190.5236743948781</v>
      </c>
      <c r="J17" s="49">
        <f>QDD!J46</f>
        <v>5868.6725380312464</v>
      </c>
      <c r="K17" s="49">
        <f>QDD!K46</f>
        <v>6546.8214016676047</v>
      </c>
      <c r="L17" s="49">
        <f>QDD!L46</f>
        <v>5508.0611743948775</v>
      </c>
      <c r="M17" s="49">
        <f>QDD!M46</f>
        <v>5533.9780474625568</v>
      </c>
      <c r="N17" s="49">
        <f>QDD!N46</f>
        <v>3156.0770834857881</v>
      </c>
      <c r="O17" s="49">
        <f>QDD!O46</f>
        <v>3834.225947122151</v>
      </c>
      <c r="P17" s="49">
        <f>QDD!P46</f>
        <v>4512.3748107585152</v>
      </c>
      <c r="Q17" s="49">
        <f>QDD!Q46</f>
        <v>5190.5236743948781</v>
      </c>
      <c r="R17" s="49">
        <f>QDD!R46</f>
        <v>5868.6725380312419</v>
      </c>
      <c r="S17" s="49">
        <f>QDD!S46</f>
        <v>6546.8214016676047</v>
      </c>
      <c r="T17" s="49">
        <f>QDD!T46</f>
        <v>5508.0611743948775</v>
      </c>
      <c r="U17" s="49">
        <f>QDD!U46</f>
        <v>5533.9780474625568</v>
      </c>
      <c r="V17" s="49">
        <f>QDD!V46</f>
        <v>3156.0770834857881</v>
      </c>
      <c r="W17" s="49">
        <f>QDD!W46</f>
        <v>3834.225947122151</v>
      </c>
      <c r="X17" s="49">
        <f>QDD!X46</f>
        <v>4512.3748107585152</v>
      </c>
      <c r="Y17" s="49">
        <f>QDD!Y46</f>
        <v>5190.5236743948781</v>
      </c>
      <c r="Z17" s="49">
        <f>QDD!Z46</f>
        <v>5868.6725380312419</v>
      </c>
      <c r="AA17" s="49">
        <f>QDD!AA46</f>
        <v>6546.8214016676047</v>
      </c>
      <c r="AB17" s="49">
        <f>QDD!AB46</f>
        <v>5508.0611743948775</v>
      </c>
      <c r="AC17" s="49">
        <f>QDD!AC46</f>
        <v>5533.9780474625568</v>
      </c>
      <c r="AD17" s="49">
        <f>QDD!AD46</f>
        <v>3156.0770834857881</v>
      </c>
      <c r="AE17" s="49">
        <f>QDD!AE46</f>
        <v>3834.225947122151</v>
      </c>
      <c r="AF17" s="49">
        <f>QDD!AF46</f>
        <v>4512.3748107585152</v>
      </c>
      <c r="AG17" s="49">
        <f>QDD!AG46</f>
        <v>5190.5236743948781</v>
      </c>
      <c r="AH17" s="49">
        <f>QDD!AH46</f>
        <v>5868.6725380312419</v>
      </c>
      <c r="AI17" s="49">
        <f>QDD!AI46</f>
        <v>6546.8214016676047</v>
      </c>
      <c r="AJ17" s="49">
        <f>QDD!AJ46</f>
        <v>5508.0611743948775</v>
      </c>
      <c r="AK17" s="49">
        <f>QDD!AK46</f>
        <v>5533.9780474625568</v>
      </c>
      <c r="AL17" s="49">
        <f>QDD!AL46</f>
        <v>3156.0770834857881</v>
      </c>
    </row>
    <row r="18" spans="2:38" ht="18" customHeight="1">
      <c r="B18" s="157" t="s">
        <v>393</v>
      </c>
      <c r="C18" s="169">
        <f t="shared" si="0"/>
        <v>0</v>
      </c>
      <c r="D18" s="49">
        <f>QDK!D20</f>
        <v>0</v>
      </c>
      <c r="E18" s="49">
        <f>QDK!E20</f>
        <v>0</v>
      </c>
      <c r="F18" s="49">
        <f>QDK!F20</f>
        <v>0</v>
      </c>
      <c r="G18" s="49">
        <f>QDK!G20</f>
        <v>0</v>
      </c>
      <c r="H18" s="49">
        <f>QDK!H20</f>
        <v>0</v>
      </c>
      <c r="I18" s="49">
        <f>QDK!I20</f>
        <v>0</v>
      </c>
      <c r="J18" s="49">
        <f>QDK!J20</f>
        <v>0</v>
      </c>
      <c r="K18" s="49">
        <f>QDK!K20</f>
        <v>0</v>
      </c>
      <c r="L18" s="49">
        <f>QDK!L20</f>
        <v>0</v>
      </c>
      <c r="M18" s="49">
        <f>QDK!M20</f>
        <v>0</v>
      </c>
      <c r="N18" s="49">
        <f>QDK!N20</f>
        <v>0</v>
      </c>
      <c r="O18" s="49">
        <f>QDK!O20</f>
        <v>0</v>
      </c>
      <c r="P18" s="49">
        <f>QDK!P20</f>
        <v>0</v>
      </c>
      <c r="Q18" s="49">
        <f>QDK!Q20</f>
        <v>0</v>
      </c>
      <c r="R18" s="49">
        <f>QDK!R20</f>
        <v>0</v>
      </c>
      <c r="S18" s="49">
        <f>QDK!S20</f>
        <v>0</v>
      </c>
      <c r="T18" s="49">
        <f>QDK!T20</f>
        <v>0</v>
      </c>
      <c r="U18" s="49">
        <f>QDK!U20</f>
        <v>0</v>
      </c>
      <c r="V18" s="49">
        <f>QDK!V20</f>
        <v>0</v>
      </c>
      <c r="W18" s="49">
        <f>QDK!W20</f>
        <v>0</v>
      </c>
      <c r="X18" s="49">
        <f>QDK!X20</f>
        <v>0</v>
      </c>
      <c r="Y18" s="49">
        <f>QDK!Y20</f>
        <v>0</v>
      </c>
      <c r="Z18" s="49">
        <f>QDK!Z20</f>
        <v>0</v>
      </c>
      <c r="AA18" s="49">
        <f>QDK!AA20</f>
        <v>0</v>
      </c>
      <c r="AB18" s="49">
        <f>QDK!AB20</f>
        <v>0</v>
      </c>
      <c r="AC18" s="49">
        <f>QDK!AC20</f>
        <v>0</v>
      </c>
      <c r="AD18" s="49">
        <f>QDK!AD20</f>
        <v>0</v>
      </c>
      <c r="AE18" s="49">
        <f>QDK!AE20</f>
        <v>0</v>
      </c>
      <c r="AF18" s="49">
        <f>QDK!AF20</f>
        <v>0</v>
      </c>
      <c r="AG18" s="49">
        <f>QDK!AG20</f>
        <v>0</v>
      </c>
      <c r="AH18" s="49">
        <f>QDK!AH20</f>
        <v>0</v>
      </c>
      <c r="AI18" s="49">
        <f>QDK!AI20</f>
        <v>0</v>
      </c>
      <c r="AJ18" s="49">
        <f>QDK!AJ20</f>
        <v>0</v>
      </c>
      <c r="AK18" s="49">
        <f>QDK!AK20</f>
        <v>0</v>
      </c>
      <c r="AL18" s="49">
        <f>QDK!AL20</f>
        <v>0</v>
      </c>
    </row>
    <row r="19" spans="2:38" ht="18" customHeight="1">
      <c r="B19" s="157" t="s">
        <v>394</v>
      </c>
      <c r="C19" s="169">
        <f t="shared" si="0"/>
        <v>340254.76514051511</v>
      </c>
      <c r="D19" s="49">
        <f>QDK!D7</f>
        <v>0</v>
      </c>
      <c r="E19" s="49">
        <f>QDK!E7</f>
        <v>0</v>
      </c>
      <c r="F19" s="49">
        <f>QDK!F7</f>
        <v>3613.3677381696189</v>
      </c>
      <c r="G19" s="49">
        <f>QDK!G7</f>
        <v>4691.9493131757154</v>
      </c>
      <c r="H19" s="49">
        <f>QDK!H7</f>
        <v>5284.7441780693434</v>
      </c>
      <c r="I19" s="49">
        <f>QDK!I7</f>
        <v>5598.4587217629642</v>
      </c>
      <c r="J19" s="49">
        <f>QDK!J7</f>
        <v>5760.1564348156326</v>
      </c>
      <c r="K19" s="49">
        <f>QDK!K7</f>
        <v>6077.6683818444535</v>
      </c>
      <c r="L19" s="49">
        <f>QDK!L7</f>
        <v>6434.0487775058127</v>
      </c>
      <c r="M19" s="49">
        <f>QDK!M7</f>
        <v>6791.874174725559</v>
      </c>
      <c r="N19" s="49">
        <f>QDK!N7</f>
        <v>7146.9826786114027</v>
      </c>
      <c r="O19" s="49">
        <f>QDK!O7</f>
        <v>7515.2191669943877</v>
      </c>
      <c r="P19" s="49">
        <f>QDK!P7</f>
        <v>7899.0757689109359</v>
      </c>
      <c r="Q19" s="49">
        <f>QDK!Q7</f>
        <v>8290.5505833498773</v>
      </c>
      <c r="R19" s="49">
        <f>QDK!R7</f>
        <v>8359.8358302280722</v>
      </c>
      <c r="S19" s="49">
        <f>QDK!S7</f>
        <v>8751.9674424277237</v>
      </c>
      <c r="T19" s="49">
        <f>QDK!T7</f>
        <v>9150.7341687503031</v>
      </c>
      <c r="U19" s="49">
        <f>QDK!U7</f>
        <v>9555.958559188939</v>
      </c>
      <c r="V19" s="49">
        <f>QDK!V7</f>
        <v>9967.6013654170692</v>
      </c>
      <c r="W19" s="49">
        <f>QDK!W7</f>
        <v>10391.790380597475</v>
      </c>
      <c r="X19" s="49">
        <f>QDK!X7</f>
        <v>10834.203163007885</v>
      </c>
      <c r="Y19" s="49">
        <f>QDK!Y7</f>
        <v>11280.126722040945</v>
      </c>
      <c r="Z19" s="49">
        <f>QDK!Z7</f>
        <v>11728.841403008208</v>
      </c>
      <c r="AA19" s="49">
        <f>QDK!AA7</f>
        <v>12179.505518869588</v>
      </c>
      <c r="AB19" s="49">
        <f>QDK!AB7</f>
        <v>12631.200206938731</v>
      </c>
      <c r="AC19" s="49">
        <f>QDK!AC7</f>
        <v>13082.863049207645</v>
      </c>
      <c r="AD19" s="49">
        <f>QDK!AD7</f>
        <v>13533.259985988578</v>
      </c>
      <c r="AE19" s="49">
        <f>QDK!AE7</f>
        <v>13981.040474561334</v>
      </c>
      <c r="AF19" s="49">
        <f>QDK!AF7</f>
        <v>14424.632021086345</v>
      </c>
      <c r="AG19" s="49">
        <f>QDK!AG7</f>
        <v>14862.390136363918</v>
      </c>
      <c r="AH19" s="49">
        <f>QDK!AH7</f>
        <v>15292.631956098638</v>
      </c>
      <c r="AI19" s="49">
        <f>QDK!AI7</f>
        <v>15713.585338518629</v>
      </c>
      <c r="AJ19" s="49">
        <f>QDK!AJ7</f>
        <v>16123.592000184453</v>
      </c>
      <c r="AK19" s="49">
        <f>QDK!AK7</f>
        <v>16521.595481825738</v>
      </c>
      <c r="AL19" s="49">
        <f>QDK!AL7</f>
        <v>16783.314018269255</v>
      </c>
    </row>
    <row r="20" spans="2:38" ht="18" customHeight="1">
      <c r="B20" s="157" t="s">
        <v>395</v>
      </c>
      <c r="C20" s="169">
        <f t="shared" si="0"/>
        <v>655316.30085847038</v>
      </c>
      <c r="D20" s="49">
        <f>-QDJ!D42*IF(D$31="Sim",(1-$C$31),1)-QDJ!D43</f>
        <v>0</v>
      </c>
      <c r="E20" s="49">
        <f>-QDJ!E42*IF(E$31="Sim",(1-$C$31),1)-QDJ!E43</f>
        <v>0</v>
      </c>
      <c r="F20" s="49">
        <f>-QDJ!F42*IF(F$31="Sim",(1-$C$31),1)-QDJ!F43</f>
        <v>263.17325211565435</v>
      </c>
      <c r="G20" s="49">
        <f>-QDJ!G42*IF(G$31="Sim",(1-$C$31),1)-QDJ!G43</f>
        <v>1200.3203318320045</v>
      </c>
      <c r="H20" s="49">
        <f>-QDJ!H42*IF(H$31="Sim",(1-$C$31),1)-QDJ!H43</f>
        <v>1672.03581317001</v>
      </c>
      <c r="I20" s="49">
        <f>-QDJ!I42*IF(I$31="Sim",(1-$C$31),1)-QDJ!I43</f>
        <v>2057.5280951483796</v>
      </c>
      <c r="J20" s="49">
        <f>-QDJ!J42*IF(J$31="Sim",(1-$C$31),1)-QDJ!J43</f>
        <v>2244.0064240987167</v>
      </c>
      <c r="K20" s="49">
        <f>-QDJ!K42*IF(K$31="Sim",(1-$C$31),1)-QDJ!K43</f>
        <v>2536.9258518017705</v>
      </c>
      <c r="L20" s="49">
        <f>-QDJ!L42*IF(L$31="Sim",(1-$C$31),1)-QDJ!L43</f>
        <v>2977.9794746093748</v>
      </c>
      <c r="M20" s="49">
        <f>-QDJ!M42*IF(M$31="Sim",(1-$C$31),1)-QDJ!M43</f>
        <v>4793.1916306783405</v>
      </c>
      <c r="N20" s="49">
        <f>-QDJ!N42*IF(N$31="Sim",(1-$C$31),1)-QDJ!N43</f>
        <v>5747.9087086363825</v>
      </c>
      <c r="O20" s="49">
        <f>-QDJ!O42*IF(O$31="Sim",(1-$C$31),1)-QDJ!O43</f>
        <v>13729.171347877391</v>
      </c>
      <c r="P20" s="49">
        <f>-QDJ!P42*IF(P$31="Sim",(1-$C$31),1)-QDJ!P43</f>
        <v>14700.908573002438</v>
      </c>
      <c r="Q20" s="49">
        <f>-QDJ!Q42*IF(Q$31="Sim",(1-$C$31),1)-QDJ!Q43</f>
        <v>15292.958498481785</v>
      </c>
      <c r="R20" s="49">
        <f>-QDJ!R42*IF(R$31="Sim",(1-$C$31),1)-QDJ!R43</f>
        <v>14622.080052213694</v>
      </c>
      <c r="S20" s="49">
        <f>-QDJ!S42*IF(S$31="Sim",(1-$C$31),1)-QDJ!S43</f>
        <v>15499.045430647131</v>
      </c>
      <c r="T20" s="49">
        <f>-QDJ!T42*IF(T$31="Sim",(1-$C$31),1)-QDJ!T43</f>
        <v>17111.222198478627</v>
      </c>
      <c r="U20" s="49">
        <f>-QDJ!U42*IF(U$31="Sim",(1-$C$31),1)-QDJ!U43</f>
        <v>18243.007834162549</v>
      </c>
      <c r="V20" s="49">
        <f>-QDJ!V42*IF(V$31="Sim",(1-$C$31),1)-QDJ!V43</f>
        <v>20774.395379467387</v>
      </c>
      <c r="W20" s="49">
        <f>-QDJ!W42*IF(W$31="Sim",(1-$C$31),1)-QDJ!W43</f>
        <v>22285.77061646169</v>
      </c>
      <c r="X20" s="49">
        <f>-QDJ!X42*IF(X$31="Sim",(1-$C$31),1)-QDJ!X43</f>
        <v>23124.479990291522</v>
      </c>
      <c r="Y20" s="49">
        <f>-QDJ!Y42*IF(Y$31="Sim",(1-$C$31),1)-QDJ!Y43</f>
        <v>24321.264230361274</v>
      </c>
      <c r="Z20" s="49">
        <f>-QDJ!Z42*IF(Z$31="Sim",(1-$C$31),1)-QDJ!Z43</f>
        <v>25557.791740556968</v>
      </c>
      <c r="AA20" s="49">
        <f>-QDJ!AA42*IF(AA$31="Sim",(1-$C$31),1)-QDJ!AA43</f>
        <v>26385.689525855472</v>
      </c>
      <c r="AB20" s="49">
        <f>-QDJ!AB42*IF(AB$31="Sim",(1-$C$31),1)-QDJ!AB43</f>
        <v>27756.994120864994</v>
      </c>
      <c r="AC20" s="49">
        <f>-QDJ!AC42*IF(AC$31="Sim",(1-$C$31),1)-QDJ!AC43</f>
        <v>29292.063866500797</v>
      </c>
      <c r="AD20" s="49">
        <f>-QDJ!AD42*IF(AD$31="Sim",(1-$C$31),1)-QDJ!AD43</f>
        <v>31665.278896050244</v>
      </c>
      <c r="AE20" s="49">
        <f>-QDJ!AE42*IF(AE$31="Sim",(1-$C$31),1)-QDJ!AE43</f>
        <v>32913.902285544813</v>
      </c>
      <c r="AF20" s="49">
        <f>-QDJ!AF42*IF(AF$31="Sim",(1-$C$31),1)-QDJ!AF43</f>
        <v>34482.438815388508</v>
      </c>
      <c r="AG20" s="49">
        <f>-QDJ!AG42*IF(AG$31="Sim",(1-$C$31),1)-QDJ!AG43</f>
        <v>36044.683024805083</v>
      </c>
      <c r="AH20" s="49">
        <f>-QDJ!AH42*IF(AH$31="Sim",(1-$C$31),1)-QDJ!AH43</f>
        <v>35700.002518636509</v>
      </c>
      <c r="AI20" s="49">
        <f>-QDJ!AI42*IF(AI$31="Sim",(1-$C$31),1)-QDJ!AI43</f>
        <v>36690.914676011213</v>
      </c>
      <c r="AJ20" s="49">
        <f>-QDJ!AJ42*IF(AJ$31="Sim",(1-$C$31),1)-QDJ!AJ43</f>
        <v>38426.353164617627</v>
      </c>
      <c r="AK20" s="49">
        <f>-QDJ!AK42*IF(AK$31="Sim",(1-$C$31),1)-QDJ!AK43</f>
        <v>39214.820605734873</v>
      </c>
      <c r="AL20" s="49">
        <f>-QDJ!AL42*IF(AL$31="Sim",(1-$C$31),1)-QDJ!AL43</f>
        <v>37987.993884367083</v>
      </c>
    </row>
    <row r="21" spans="2:38" ht="18" customHeight="1">
      <c r="B21" s="158" t="s">
        <v>103</v>
      </c>
      <c r="C21" s="168">
        <f>SUM(D21:AL21)</f>
        <v>317088.64660129946</v>
      </c>
      <c r="D21" s="40">
        <f t="shared" ref="D21:AG21" si="5">SUM(D22:D25)</f>
        <v>83774.954416808643</v>
      </c>
      <c r="E21" s="40">
        <f>SUM(E22:E25)</f>
        <v>133259.29477541571</v>
      </c>
      <c r="F21" s="40">
        <f t="shared" si="5"/>
        <v>1646.7005958226571</v>
      </c>
      <c r="G21" s="40">
        <f t="shared" si="5"/>
        <v>367.66711972500002</v>
      </c>
      <c r="H21" s="40">
        <f t="shared" si="5"/>
        <v>140.34109760000001</v>
      </c>
      <c r="I21" s="40">
        <f t="shared" si="5"/>
        <v>514.96414800000002</v>
      </c>
      <c r="J21" s="40">
        <f t="shared" si="5"/>
        <v>797.30138431250009</v>
      </c>
      <c r="K21" s="40">
        <f t="shared" si="5"/>
        <v>317.53280000000007</v>
      </c>
      <c r="L21" s="40">
        <f t="shared" si="5"/>
        <v>1332.8662550449219</v>
      </c>
      <c r="M21" s="40">
        <f t="shared" si="5"/>
        <v>499.69838906250004</v>
      </c>
      <c r="N21" s="40">
        <f t="shared" si="5"/>
        <v>2838.3173468749997</v>
      </c>
      <c r="O21" s="40">
        <f t="shared" si="5"/>
        <v>0</v>
      </c>
      <c r="P21" s="40">
        <f t="shared" si="5"/>
        <v>645.35598906250004</v>
      </c>
      <c r="Q21" s="40">
        <f t="shared" si="5"/>
        <v>11741.873168716796</v>
      </c>
      <c r="R21" s="40">
        <f t="shared" si="5"/>
        <v>3740.6362225121998</v>
      </c>
      <c r="S21" s="40">
        <f t="shared" si="5"/>
        <v>1621.5813890625</v>
      </c>
      <c r="T21" s="40">
        <f t="shared" si="5"/>
        <v>10034.2228983758</v>
      </c>
      <c r="U21" s="40">
        <f t="shared" si="5"/>
        <v>0</v>
      </c>
      <c r="V21" s="40">
        <f t="shared" si="5"/>
        <v>1832.5646441074221</v>
      </c>
      <c r="W21" s="40">
        <f t="shared" si="5"/>
        <v>0</v>
      </c>
      <c r="X21" s="40">
        <f t="shared" si="5"/>
        <v>3121.7653468749995</v>
      </c>
      <c r="Y21" s="40">
        <f t="shared" si="5"/>
        <v>817.23118906249999</v>
      </c>
      <c r="Z21" s="40">
        <f t="shared" si="5"/>
        <v>145.6576</v>
      </c>
      <c r="AA21" s="40">
        <f t="shared" si="5"/>
        <v>13782.637956802737</v>
      </c>
      <c r="AB21" s="40">
        <f t="shared" si="5"/>
        <v>645.35598906250004</v>
      </c>
      <c r="AC21" s="40">
        <f t="shared" si="5"/>
        <v>808.75799999999992</v>
      </c>
      <c r="AD21" s="40">
        <f t="shared" si="5"/>
        <v>461.06060000000002</v>
      </c>
      <c r="AE21" s="40">
        <f t="shared" si="5"/>
        <v>499.69838906250004</v>
      </c>
      <c r="AF21" s="40">
        <f t="shared" si="5"/>
        <v>2835.891336294922</v>
      </c>
      <c r="AG21" s="40">
        <f t="shared" si="5"/>
        <v>21535.3835</v>
      </c>
      <c r="AH21" s="40">
        <f>SUM(AH22:AH25)</f>
        <v>4782.7243240234402</v>
      </c>
      <c r="AI21" s="40">
        <f>SUM(AI22:AI25)</f>
        <v>0</v>
      </c>
      <c r="AJ21" s="40">
        <f>SUM(AJ22:AJ25)</f>
        <v>145.6576</v>
      </c>
      <c r="AK21" s="40">
        <f>SUM(AK22:AK25)</f>
        <v>5570.8146331117196</v>
      </c>
      <c r="AL21" s="40">
        <f>SUM(AL22:AL25)</f>
        <v>6830.1374964999995</v>
      </c>
    </row>
    <row r="22" spans="2:38" ht="18" customHeight="1">
      <c r="B22" s="157" t="s">
        <v>275</v>
      </c>
      <c r="C22" s="169">
        <f t="shared" si="0"/>
        <v>180737.0674125122</v>
      </c>
      <c r="D22" s="49">
        <f>QDF!E4</f>
        <v>56648.618090000004</v>
      </c>
      <c r="E22" s="49">
        <f>QDF!F4</f>
        <v>94686.893199999991</v>
      </c>
      <c r="F22" s="49">
        <f>QDF!G4</f>
        <v>0</v>
      </c>
      <c r="G22" s="49">
        <f>QDF!H4</f>
        <v>0</v>
      </c>
      <c r="H22" s="49">
        <f>QDF!I4</f>
        <v>0</v>
      </c>
      <c r="I22" s="49">
        <f>QDF!J4</f>
        <v>0</v>
      </c>
      <c r="J22" s="49">
        <f>QDF!K4</f>
        <v>0</v>
      </c>
      <c r="K22" s="49">
        <f>QDF!L4</f>
        <v>0</v>
      </c>
      <c r="L22" s="49">
        <f>QDF!M4</f>
        <v>0</v>
      </c>
      <c r="M22" s="49">
        <f>QDF!N4</f>
        <v>0</v>
      </c>
      <c r="N22" s="49">
        <f>QDF!O4</f>
        <v>0</v>
      </c>
      <c r="O22" s="49">
        <f>QDF!P4</f>
        <v>0</v>
      </c>
      <c r="P22" s="49">
        <f>QDF!Q4</f>
        <v>0</v>
      </c>
      <c r="Q22" s="49">
        <f>QDF!R4</f>
        <v>0</v>
      </c>
      <c r="R22" s="49">
        <f>QDF!S4</f>
        <v>2415.4458225121998</v>
      </c>
      <c r="S22" s="49">
        <f>QDF!T4</f>
        <v>0</v>
      </c>
      <c r="T22" s="49">
        <f>QDF!U4</f>
        <v>0</v>
      </c>
      <c r="U22" s="49">
        <f>QDF!V4</f>
        <v>0</v>
      </c>
      <c r="V22" s="49">
        <f>QDF!W4</f>
        <v>0</v>
      </c>
      <c r="W22" s="49">
        <f>QDF!X4</f>
        <v>0</v>
      </c>
      <c r="X22" s="49">
        <f>QDF!Y4</f>
        <v>0</v>
      </c>
      <c r="Y22" s="49">
        <f>QDF!Z4</f>
        <v>0</v>
      </c>
      <c r="Z22" s="49">
        <f>QDF!AA4</f>
        <v>0</v>
      </c>
      <c r="AA22" s="49">
        <f>QDF!AB4</f>
        <v>0</v>
      </c>
      <c r="AB22" s="49">
        <f>QDF!AC4</f>
        <v>0</v>
      </c>
      <c r="AC22" s="49">
        <f>QDF!AD4</f>
        <v>0</v>
      </c>
      <c r="AD22" s="49">
        <f>QDF!AE4</f>
        <v>0</v>
      </c>
      <c r="AE22" s="49">
        <f>QDF!AF4</f>
        <v>0</v>
      </c>
      <c r="AF22" s="49">
        <f>QDF!AG4</f>
        <v>0</v>
      </c>
      <c r="AG22" s="49">
        <f>QDF!AH4</f>
        <v>20889.754300000001</v>
      </c>
      <c r="AH22" s="49">
        <f>QDF!AI4</f>
        <v>0</v>
      </c>
      <c r="AI22" s="49">
        <f>QDF!AJ4</f>
        <v>0</v>
      </c>
      <c r="AJ22" s="49">
        <f>QDF!AK4</f>
        <v>0</v>
      </c>
      <c r="AK22" s="49">
        <f>QDF!AL4</f>
        <v>0</v>
      </c>
      <c r="AL22" s="49">
        <f>QDF!AM4</f>
        <v>6096.3559999999998</v>
      </c>
    </row>
    <row r="23" spans="2:38" ht="18" customHeight="1">
      <c r="B23" s="157" t="s">
        <v>122</v>
      </c>
      <c r="C23" s="169">
        <f t="shared" si="0"/>
        <v>54024.366450973161</v>
      </c>
      <c r="D23" s="49">
        <f>QDF!E5</f>
        <v>15543.557814472375</v>
      </c>
      <c r="E23" s="49">
        <f>QDF!F5</f>
        <v>30346.888711445787</v>
      </c>
      <c r="F23" s="49">
        <f>QDF!G5</f>
        <v>0</v>
      </c>
      <c r="G23" s="49">
        <f>QDF!H5</f>
        <v>0</v>
      </c>
      <c r="H23" s="49">
        <f>QDF!I5</f>
        <v>0</v>
      </c>
      <c r="I23" s="49">
        <f>QDF!J5</f>
        <v>0</v>
      </c>
      <c r="J23" s="49">
        <f>QDF!K5</f>
        <v>0</v>
      </c>
      <c r="K23" s="49">
        <f>QDF!L5</f>
        <v>0</v>
      </c>
      <c r="L23" s="49">
        <f>QDF!M5</f>
        <v>0</v>
      </c>
      <c r="M23" s="49">
        <f>QDF!N5</f>
        <v>0</v>
      </c>
      <c r="N23" s="49">
        <f>QDF!O5</f>
        <v>0</v>
      </c>
      <c r="O23" s="49">
        <f>QDF!P5</f>
        <v>0</v>
      </c>
      <c r="P23" s="49">
        <f>QDF!Q5</f>
        <v>0</v>
      </c>
      <c r="Q23" s="49">
        <f>QDF!R5</f>
        <v>0</v>
      </c>
      <c r="R23" s="49">
        <f>QDF!S5</f>
        <v>0</v>
      </c>
      <c r="S23" s="49">
        <f>QDF!T5</f>
        <v>0</v>
      </c>
      <c r="T23" s="49">
        <f>QDF!U5</f>
        <v>8133.919925055</v>
      </c>
      <c r="U23" s="49">
        <f>QDF!V5</f>
        <v>0</v>
      </c>
      <c r="V23" s="49">
        <f>QDF!W5</f>
        <v>0</v>
      </c>
      <c r="W23" s="49">
        <f>QDF!X5</f>
        <v>0</v>
      </c>
      <c r="X23" s="49">
        <f>QDF!Y5</f>
        <v>0</v>
      </c>
      <c r="Y23" s="49">
        <f>QDF!Z5</f>
        <v>0</v>
      </c>
      <c r="Z23" s="49">
        <f>QDF!AA5</f>
        <v>0</v>
      </c>
      <c r="AA23" s="49">
        <f>QDF!AB5</f>
        <v>0</v>
      </c>
      <c r="AB23" s="49">
        <f>QDF!AC5</f>
        <v>0</v>
      </c>
      <c r="AC23" s="49">
        <f>QDF!AD5</f>
        <v>0</v>
      </c>
      <c r="AD23" s="49">
        <f>QDF!AE5</f>
        <v>0</v>
      </c>
      <c r="AE23" s="49">
        <f>QDF!AF5</f>
        <v>0</v>
      </c>
      <c r="AF23" s="49">
        <f>QDF!AG5</f>
        <v>0</v>
      </c>
      <c r="AG23" s="49">
        <f>QDF!AH5</f>
        <v>0</v>
      </c>
      <c r="AH23" s="49">
        <f>QDF!AI5</f>
        <v>0</v>
      </c>
      <c r="AI23" s="49">
        <f>QDF!AJ5</f>
        <v>0</v>
      </c>
      <c r="AJ23" s="49">
        <f>QDF!AK5</f>
        <v>0</v>
      </c>
      <c r="AK23" s="49">
        <f>QDF!AL5</f>
        <v>0</v>
      </c>
      <c r="AL23" s="49">
        <f>QDF!AM5</f>
        <v>0</v>
      </c>
    </row>
    <row r="24" spans="2:38" ht="18" customHeight="1">
      <c r="B24" s="159" t="s">
        <v>276</v>
      </c>
      <c r="C24" s="169">
        <f t="shared" si="0"/>
        <v>4489.951709317631</v>
      </c>
      <c r="D24" s="49">
        <f>QDF!E6</f>
        <v>1663.1828678282948</v>
      </c>
      <c r="E24" s="49">
        <f>QDF!F6</f>
        <v>2826.768841489336</v>
      </c>
      <c r="F24" s="49">
        <f>QDF!G6</f>
        <v>0</v>
      </c>
      <c r="G24" s="49">
        <f>QDF!H6</f>
        <v>0</v>
      </c>
      <c r="H24" s="49">
        <f>QDF!I6</f>
        <v>0</v>
      </c>
      <c r="I24" s="49">
        <f>QDF!J6</f>
        <v>0</v>
      </c>
      <c r="J24" s="49">
        <f>QDF!K6</f>
        <v>0</v>
      </c>
      <c r="K24" s="49">
        <f>QDF!L6</f>
        <v>0</v>
      </c>
      <c r="L24" s="49">
        <f>QDF!M6</f>
        <v>0</v>
      </c>
      <c r="M24" s="49">
        <f>QDF!N6</f>
        <v>0</v>
      </c>
      <c r="N24" s="49">
        <f>QDF!O6</f>
        <v>0</v>
      </c>
      <c r="O24" s="49">
        <f>QDF!P6</f>
        <v>0</v>
      </c>
      <c r="P24" s="49">
        <f>QDF!Q6</f>
        <v>0</v>
      </c>
      <c r="Q24" s="49">
        <f>QDF!R6</f>
        <v>0</v>
      </c>
      <c r="R24" s="49">
        <f>QDF!S6</f>
        <v>0</v>
      </c>
      <c r="S24" s="49">
        <f>QDF!T6</f>
        <v>0</v>
      </c>
      <c r="T24" s="49">
        <f>QDF!U6</f>
        <v>0</v>
      </c>
      <c r="U24" s="49">
        <f>QDF!V6</f>
        <v>0</v>
      </c>
      <c r="V24" s="49">
        <f>QDF!W6</f>
        <v>0</v>
      </c>
      <c r="W24" s="49">
        <f>QDF!X6</f>
        <v>0</v>
      </c>
      <c r="X24" s="49">
        <f>QDF!Y6</f>
        <v>0</v>
      </c>
      <c r="Y24" s="49">
        <f>QDF!Z6</f>
        <v>0</v>
      </c>
      <c r="Z24" s="49">
        <f>QDF!AA6</f>
        <v>0</v>
      </c>
      <c r="AA24" s="49">
        <f>QDF!AB6</f>
        <v>0</v>
      </c>
      <c r="AB24" s="49">
        <f>QDF!AC6</f>
        <v>0</v>
      </c>
      <c r="AC24" s="49">
        <f>QDF!AD6</f>
        <v>0</v>
      </c>
      <c r="AD24" s="49">
        <f>QDF!AE6</f>
        <v>0</v>
      </c>
      <c r="AE24" s="49">
        <f>QDF!AF6</f>
        <v>0</v>
      </c>
      <c r="AF24" s="49">
        <f>QDF!AG6</f>
        <v>0</v>
      </c>
      <c r="AG24" s="49">
        <f>QDF!AH6</f>
        <v>0</v>
      </c>
      <c r="AH24" s="49">
        <f>QDF!AI6</f>
        <v>0</v>
      </c>
      <c r="AI24" s="49">
        <f>QDF!AJ6</f>
        <v>0</v>
      </c>
      <c r="AJ24" s="49">
        <f>QDF!AK6</f>
        <v>0</v>
      </c>
      <c r="AK24" s="49">
        <f>QDF!AL6</f>
        <v>0</v>
      </c>
      <c r="AL24" s="49">
        <f>QDF!AM6</f>
        <v>0</v>
      </c>
    </row>
    <row r="25" spans="2:38" ht="18" customHeight="1">
      <c r="B25" s="159" t="s">
        <v>195</v>
      </c>
      <c r="C25" s="169">
        <f t="shared" si="0"/>
        <v>77837.26102849649</v>
      </c>
      <c r="D25" s="49">
        <f>QDF!E7</f>
        <v>9919.5956445079792</v>
      </c>
      <c r="E25" s="49">
        <f>QDF!F7</f>
        <v>5398.7440224806041</v>
      </c>
      <c r="F25" s="49">
        <f>QDF!G7</f>
        <v>1646.7005958226571</v>
      </c>
      <c r="G25" s="49">
        <f>QDF!H7</f>
        <v>367.66711972500002</v>
      </c>
      <c r="H25" s="49">
        <f>QDF!I7</f>
        <v>140.34109760000001</v>
      </c>
      <c r="I25" s="49">
        <f>QDF!J7</f>
        <v>514.96414800000002</v>
      </c>
      <c r="J25" s="49">
        <f>QDF!K7</f>
        <v>797.30138431250009</v>
      </c>
      <c r="K25" s="49">
        <f>QDF!L7</f>
        <v>317.53280000000007</v>
      </c>
      <c r="L25" s="49">
        <f>QDF!M7</f>
        <v>1332.8662550449219</v>
      </c>
      <c r="M25" s="49">
        <f>QDF!N7</f>
        <v>499.69838906250004</v>
      </c>
      <c r="N25" s="49">
        <f>QDF!O7</f>
        <v>2838.3173468749997</v>
      </c>
      <c r="O25" s="49">
        <f>QDF!P7</f>
        <v>0</v>
      </c>
      <c r="P25" s="49">
        <f>QDF!Q7</f>
        <v>645.35598906250004</v>
      </c>
      <c r="Q25" s="49">
        <f>QDF!R7</f>
        <v>11741.873168716796</v>
      </c>
      <c r="R25" s="49">
        <f>QDF!S7</f>
        <v>1325.1904</v>
      </c>
      <c r="S25" s="49">
        <f>QDF!T7</f>
        <v>1621.5813890625</v>
      </c>
      <c r="T25" s="49">
        <f>QDF!U7</f>
        <v>1900.3029733208</v>
      </c>
      <c r="U25" s="49">
        <f>QDF!V7</f>
        <v>0</v>
      </c>
      <c r="V25" s="49">
        <f>QDF!W7</f>
        <v>1832.5646441074221</v>
      </c>
      <c r="W25" s="49">
        <f>QDF!X7</f>
        <v>0</v>
      </c>
      <c r="X25" s="49">
        <f>QDF!Y7</f>
        <v>3121.7653468749995</v>
      </c>
      <c r="Y25" s="49">
        <f>QDF!Z7</f>
        <v>817.23118906249999</v>
      </c>
      <c r="Z25" s="49">
        <f>QDF!AA7</f>
        <v>145.6576</v>
      </c>
      <c r="AA25" s="49">
        <f>QDF!AB7</f>
        <v>13782.637956802737</v>
      </c>
      <c r="AB25" s="49">
        <f>QDF!AC7</f>
        <v>645.35598906250004</v>
      </c>
      <c r="AC25" s="49">
        <f>QDF!AD7</f>
        <v>808.75799999999992</v>
      </c>
      <c r="AD25" s="49">
        <f>QDF!AE7</f>
        <v>461.06060000000002</v>
      </c>
      <c r="AE25" s="49">
        <f>QDF!AF7</f>
        <v>499.69838906250004</v>
      </c>
      <c r="AF25" s="49">
        <f>QDF!AG7</f>
        <v>2835.891336294922</v>
      </c>
      <c r="AG25" s="49">
        <f>QDF!AH7</f>
        <v>645.62919999999997</v>
      </c>
      <c r="AH25" s="49">
        <f>QDF!AI7</f>
        <v>4782.7243240234402</v>
      </c>
      <c r="AI25" s="49">
        <f>QDF!AJ7</f>
        <v>0</v>
      </c>
      <c r="AJ25" s="49">
        <f>QDF!AK7</f>
        <v>145.6576</v>
      </c>
      <c r="AK25" s="49">
        <f>QDF!AL7</f>
        <v>5570.8146331117196</v>
      </c>
      <c r="AL25" s="49">
        <f>QDF!AM7</f>
        <v>733.7814965</v>
      </c>
    </row>
    <row r="26" spans="2:38" ht="24.95" customHeight="1">
      <c r="B26" s="43" t="s">
        <v>104</v>
      </c>
      <c r="C26" s="53">
        <f>SUM(D26:AL26)</f>
        <v>1358004.3338939776</v>
      </c>
      <c r="D26" s="53">
        <f>D4-D8</f>
        <v>-96483.060304822095</v>
      </c>
      <c r="E26" s="53">
        <f t="shared" ref="E26:AL26" si="6">E4-E8</f>
        <v>-151146.58148038943</v>
      </c>
      <c r="F26" s="53">
        <f t="shared" si="6"/>
        <v>10261.764738074216</v>
      </c>
      <c r="G26" s="53">
        <f t="shared" si="6"/>
        <v>19624.832532465203</v>
      </c>
      <c r="H26" s="53">
        <f t="shared" si="6"/>
        <v>23850.876761376036</v>
      </c>
      <c r="I26" s="53">
        <f t="shared" si="6"/>
        <v>25792.788619419742</v>
      </c>
      <c r="J26" s="53">
        <f t="shared" si="6"/>
        <v>25700.357222900384</v>
      </c>
      <c r="K26" s="53">
        <f t="shared" si="6"/>
        <v>28037.47486816757</v>
      </c>
      <c r="L26" s="53">
        <f t="shared" si="6"/>
        <v>30578.396822522292</v>
      </c>
      <c r="M26" s="53">
        <f t="shared" si="6"/>
        <v>33336.061091465061</v>
      </c>
      <c r="N26" s="53">
        <f t="shared" si="6"/>
        <v>36076.450328168539</v>
      </c>
      <c r="O26" s="53">
        <f t="shared" si="6"/>
        <v>33783.905141271374</v>
      </c>
      <c r="P26" s="53">
        <f t="shared" si="6"/>
        <v>34946.865405752782</v>
      </c>
      <c r="Q26" s="53">
        <f t="shared" si="6"/>
        <v>25960.808095067638</v>
      </c>
      <c r="R26" s="53">
        <f t="shared" si="6"/>
        <v>33783.201479212752</v>
      </c>
      <c r="S26" s="53">
        <f t="shared" si="6"/>
        <v>37686.248767236058</v>
      </c>
      <c r="T26" s="53">
        <f t="shared" si="6"/>
        <v>32471.483567617077</v>
      </c>
      <c r="U26" s="53">
        <f t="shared" si="6"/>
        <v>45280.081250438918</v>
      </c>
      <c r="V26" s="53">
        <f t="shared" si="6"/>
        <v>47305.92009585019</v>
      </c>
      <c r="W26" s="53">
        <f t="shared" si="6"/>
        <v>50948.88089577973</v>
      </c>
      <c r="X26" s="53">
        <f t="shared" si="6"/>
        <v>49472.697806826254</v>
      </c>
      <c r="Y26" s="53">
        <f t="shared" si="6"/>
        <v>54142.1125891884</v>
      </c>
      <c r="Z26" s="53">
        <f t="shared" si="6"/>
        <v>57120.262867851998</v>
      </c>
      <c r="AA26" s="53">
        <f t="shared" si="6"/>
        <v>46299.951303192356</v>
      </c>
      <c r="AB26" s="53">
        <f t="shared" si="6"/>
        <v>63358.720414950381</v>
      </c>
      <c r="AC26" s="53">
        <f t="shared" si="6"/>
        <v>66008.394539171699</v>
      </c>
      <c r="AD26" s="53">
        <f t="shared" si="6"/>
        <v>70696.003320585733</v>
      </c>
      <c r="AE26" s="53">
        <f t="shared" si="6"/>
        <v>73080.950895836213</v>
      </c>
      <c r="AF26" s="53">
        <f t="shared" si="6"/>
        <v>72730.293570449969</v>
      </c>
      <c r="AG26" s="53">
        <f t="shared" si="6"/>
        <v>55968.745766420034</v>
      </c>
      <c r="AH26" s="53">
        <f t="shared" si="6"/>
        <v>76680.835448825819</v>
      </c>
      <c r="AI26" s="53">
        <f t="shared" si="6"/>
        <v>83791.527090945281</v>
      </c>
      <c r="AJ26" s="53">
        <f t="shared" si="6"/>
        <v>86947.717472274962</v>
      </c>
      <c r="AK26" s="53">
        <f t="shared" si="6"/>
        <v>84605.625642186496</v>
      </c>
      <c r="AL26" s="53">
        <f t="shared" si="6"/>
        <v>89303.739267697907</v>
      </c>
    </row>
    <row r="27" spans="2:38" ht="24.95" customHeight="1">
      <c r="B27" s="43" t="s">
        <v>105</v>
      </c>
      <c r="C27" s="53"/>
      <c r="D27" s="53">
        <f>D26</f>
        <v>-96483.060304822095</v>
      </c>
      <c r="E27" s="53">
        <f>E26+D27</f>
        <v>-247629.64178521151</v>
      </c>
      <c r="F27" s="53">
        <f t="shared" ref="F27:AG27" si="7">F26+E27</f>
        <v>-237367.8770471373</v>
      </c>
      <c r="G27" s="53">
        <f t="shared" si="7"/>
        <v>-217743.0445146721</v>
      </c>
      <c r="H27" s="53">
        <f t="shared" si="7"/>
        <v>-193892.16775329606</v>
      </c>
      <c r="I27" s="53">
        <f t="shared" si="7"/>
        <v>-168099.37913387633</v>
      </c>
      <c r="J27" s="53">
        <f t="shared" si="7"/>
        <v>-142399.02191097595</v>
      </c>
      <c r="K27" s="53">
        <f t="shared" si="7"/>
        <v>-114361.54704280838</v>
      </c>
      <c r="L27" s="53">
        <f t="shared" si="7"/>
        <v>-83783.150220286087</v>
      </c>
      <c r="M27" s="53">
        <f t="shared" si="7"/>
        <v>-50447.089128821026</v>
      </c>
      <c r="N27" s="53">
        <f t="shared" si="7"/>
        <v>-14370.638800652487</v>
      </c>
      <c r="O27" s="53">
        <f t="shared" si="7"/>
        <v>19413.266340618888</v>
      </c>
      <c r="P27" s="53">
        <f t="shared" si="7"/>
        <v>54360.13174637167</v>
      </c>
      <c r="Q27" s="53">
        <f t="shared" si="7"/>
        <v>80320.939841439307</v>
      </c>
      <c r="R27" s="53">
        <f t="shared" si="7"/>
        <v>114104.14132065207</v>
      </c>
      <c r="S27" s="53">
        <f t="shared" si="7"/>
        <v>151790.39008788811</v>
      </c>
      <c r="T27" s="53">
        <f t="shared" si="7"/>
        <v>184261.87365550519</v>
      </c>
      <c r="U27" s="53">
        <f t="shared" si="7"/>
        <v>229541.95490594412</v>
      </c>
      <c r="V27" s="53">
        <f t="shared" si="7"/>
        <v>276847.87500179431</v>
      </c>
      <c r="W27" s="53">
        <f t="shared" si="7"/>
        <v>327796.75589757401</v>
      </c>
      <c r="X27" s="53">
        <f t="shared" si="7"/>
        <v>377269.45370440028</v>
      </c>
      <c r="Y27" s="53">
        <f t="shared" si="7"/>
        <v>431411.56629358866</v>
      </c>
      <c r="Z27" s="53">
        <f t="shared" si="7"/>
        <v>488531.82916144066</v>
      </c>
      <c r="AA27" s="53">
        <f t="shared" si="7"/>
        <v>534831.78046463302</v>
      </c>
      <c r="AB27" s="53">
        <f t="shared" si="7"/>
        <v>598190.50087958341</v>
      </c>
      <c r="AC27" s="53">
        <f t="shared" si="7"/>
        <v>664198.89541875513</v>
      </c>
      <c r="AD27" s="53">
        <f t="shared" si="7"/>
        <v>734894.89873934083</v>
      </c>
      <c r="AE27" s="53">
        <f t="shared" si="7"/>
        <v>807975.84963517706</v>
      </c>
      <c r="AF27" s="53">
        <f t="shared" si="7"/>
        <v>880706.14320562698</v>
      </c>
      <c r="AG27" s="53">
        <f t="shared" si="7"/>
        <v>936674.88897204702</v>
      </c>
      <c r="AH27" s="53">
        <f>AH26+AG27</f>
        <v>1013355.7244208729</v>
      </c>
      <c r="AI27" s="53">
        <f>AI26+AH27</f>
        <v>1097147.2515118183</v>
      </c>
      <c r="AJ27" s="53">
        <f>AJ26+AI27</f>
        <v>1184094.9689840933</v>
      </c>
      <c r="AK27" s="53">
        <f>AK26+AJ27</f>
        <v>1268700.5946262798</v>
      </c>
      <c r="AL27" s="53">
        <f>AL26+AK27</f>
        <v>1358004.3338939776</v>
      </c>
    </row>
    <row r="28" spans="2:38" ht="24.95" customHeight="1">
      <c r="B28" s="156" t="s">
        <v>106</v>
      </c>
      <c r="C28" s="163">
        <f>IRR(D26:AL26)</f>
        <v>0.11778525806764395</v>
      </c>
      <c r="D28" s="162">
        <v>0.11778525806764407</v>
      </c>
      <c r="E28" s="164">
        <f>C28-D28</f>
        <v>-1.2490009027033011E-16</v>
      </c>
      <c r="F28" s="23"/>
      <c r="G28" s="23"/>
      <c r="H28" s="23"/>
      <c r="I28" s="23"/>
      <c r="J28" s="279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23"/>
    </row>
    <row r="29" spans="2:38">
      <c r="C29" s="146"/>
    </row>
    <row r="31" spans="2:38">
      <c r="B31" s="119" t="s">
        <v>328</v>
      </c>
      <c r="C31" s="122">
        <v>0.75</v>
      </c>
      <c r="D31" s="121" t="s">
        <v>329</v>
      </c>
      <c r="E31" s="121" t="s">
        <v>330</v>
      </c>
      <c r="F31" s="121" t="s">
        <v>330</v>
      </c>
      <c r="G31" s="121" t="s">
        <v>330</v>
      </c>
      <c r="H31" s="121" t="s">
        <v>330</v>
      </c>
      <c r="I31" s="121" t="s">
        <v>330</v>
      </c>
      <c r="J31" s="121" t="s">
        <v>330</v>
      </c>
      <c r="K31" s="121" t="s">
        <v>330</v>
      </c>
      <c r="L31" s="121" t="s">
        <v>330</v>
      </c>
      <c r="M31" s="121" t="s">
        <v>330</v>
      </c>
      <c r="N31" s="121" t="s">
        <v>330</v>
      </c>
      <c r="O31" s="121" t="s">
        <v>329</v>
      </c>
      <c r="P31" s="121" t="s">
        <v>329</v>
      </c>
      <c r="Q31" s="121" t="s">
        <v>329</v>
      </c>
      <c r="R31" s="121" t="s">
        <v>329</v>
      </c>
      <c r="S31" s="121" t="s">
        <v>329</v>
      </c>
      <c r="T31" s="121" t="s">
        <v>329</v>
      </c>
      <c r="U31" s="121" t="s">
        <v>329</v>
      </c>
      <c r="V31" s="121" t="s">
        <v>329</v>
      </c>
      <c r="W31" s="121" t="s">
        <v>329</v>
      </c>
      <c r="X31" s="121" t="s">
        <v>329</v>
      </c>
      <c r="Y31" s="121" t="s">
        <v>329</v>
      </c>
      <c r="Z31" s="121" t="s">
        <v>329</v>
      </c>
      <c r="AA31" s="121" t="s">
        <v>329</v>
      </c>
      <c r="AB31" s="121" t="s">
        <v>329</v>
      </c>
      <c r="AC31" s="121" t="s">
        <v>329</v>
      </c>
      <c r="AD31" s="121" t="s">
        <v>329</v>
      </c>
      <c r="AE31" s="121" t="s">
        <v>329</v>
      </c>
      <c r="AF31" s="121" t="s">
        <v>329</v>
      </c>
      <c r="AG31" s="121" t="s">
        <v>329</v>
      </c>
      <c r="AH31" s="121" t="s">
        <v>329</v>
      </c>
      <c r="AI31" s="121" t="s">
        <v>329</v>
      </c>
      <c r="AJ31" s="121" t="s">
        <v>329</v>
      </c>
      <c r="AK31" s="121" t="s">
        <v>329</v>
      </c>
      <c r="AL31" s="121" t="s">
        <v>329</v>
      </c>
    </row>
    <row r="34" spans="2:4" ht="24.75" customHeight="1">
      <c r="B34" s="170" t="s">
        <v>401</v>
      </c>
      <c r="C34" s="171">
        <f>NPV(C35,D26:AL26)</f>
        <v>-2.8478023244896043E-12</v>
      </c>
      <c r="D34" s="558"/>
    </row>
    <row r="35" spans="2:4" ht="24.75" customHeight="1">
      <c r="B35" s="170" t="s">
        <v>403</v>
      </c>
      <c r="C35" s="172">
        <v>0.11778525806764401</v>
      </c>
    </row>
    <row r="36" spans="2:4" ht="24.75" customHeight="1">
      <c r="B36" s="170" t="s">
        <v>404</v>
      </c>
      <c r="C36" s="173">
        <f>QD0!D31</f>
        <v>4.7525160660998287</v>
      </c>
    </row>
    <row r="40" spans="2:4">
      <c r="C40" s="69">
        <v>1459310.6994343023</v>
      </c>
    </row>
  </sheetData>
  <phoneticPr fontId="33" type="noConversion"/>
  <dataValidations count="1">
    <dataValidation type="list" allowBlank="1" showInputMessage="1" showErrorMessage="1" sqref="D31:AL31" xr:uid="{00000000-0002-0000-0D00-000000000000}">
      <formula1>"Sim,Não"</formula1>
    </dataValidation>
  </dataValidations>
  <printOptions horizontalCentered="1"/>
  <pageMargins left="0.98425196850393704" right="0.39370078740157483" top="1.1811023622047245" bottom="0.78740157480314965" header="0.78740157480314965" footer="0.78740157480314965"/>
  <pageSetup paperSize="9" scale="60" orientation="landscape" r:id="rId1"/>
  <headerFooter>
    <oddFooter>&amp;L&amp;"Arial,Negrito"Nota: Receitas e Custos de Construção e Impostos Diferidos (CSLL e IR)  contabilizados não afetam o fluxo de caixa e, assim, não constam nos itens 1.1.2 , 2.1.5 e 2.1.10 deste demonstrativo.</oddFooter>
  </headerFooter>
  <colBreaks count="2" manualBreakCount="2">
    <brk id="15" max="26" man="1"/>
    <brk id="27" max="26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Planilha16"/>
  <dimension ref="B1:AL34"/>
  <sheetViews>
    <sheetView showGridLines="0" zoomScaleNormal="100" workbookViewId="0">
      <pane xSplit="3" ySplit="3" topLeftCell="D4" activePane="bottomRight" state="frozen"/>
      <selection activeCell="F15" sqref="F15"/>
      <selection pane="topRight" activeCell="F15" sqref="F15"/>
      <selection pane="bottomLeft" activeCell="F15" sqref="F15"/>
      <selection pane="bottomRight" activeCell="D4" sqref="D4"/>
    </sheetView>
  </sheetViews>
  <sheetFormatPr defaultRowHeight="12.75"/>
  <cols>
    <col min="1" max="1" width="2" customWidth="1"/>
    <col min="2" max="2" width="46.7109375" customWidth="1"/>
    <col min="3" max="3" width="13.5703125" customWidth="1"/>
    <col min="4" max="38" width="10.7109375" customWidth="1"/>
  </cols>
  <sheetData>
    <row r="1" spans="2:38" ht="39.950000000000003" customHeight="1">
      <c r="B1" s="19" t="str">
        <f>QDA!B1:O1</f>
        <v>CONCESSIONÁRIA ROTA DO ATLÂNTICO</v>
      </c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</row>
    <row r="2" spans="2:38" ht="22.7" customHeight="1">
      <c r="B2" s="51" t="s">
        <v>225</v>
      </c>
      <c r="C2" s="6"/>
      <c r="D2" s="148" t="s">
        <v>43</v>
      </c>
      <c r="F2" s="148" t="s">
        <v>230</v>
      </c>
      <c r="G2" s="20"/>
      <c r="AG2" s="20"/>
      <c r="AL2" s="20"/>
    </row>
    <row r="3" spans="2:38" s="23" customFormat="1" ht="30.2" customHeight="1">
      <c r="B3" s="26" t="s">
        <v>78</v>
      </c>
      <c r="C3" s="26" t="s">
        <v>4</v>
      </c>
      <c r="D3" s="26">
        <v>1</v>
      </c>
      <c r="E3" s="26">
        <v>2</v>
      </c>
      <c r="F3" s="26">
        <v>3</v>
      </c>
      <c r="G3" s="26">
        <v>4</v>
      </c>
      <c r="H3" s="26">
        <v>5</v>
      </c>
      <c r="I3" s="26">
        <v>6</v>
      </c>
      <c r="J3" s="26">
        <v>7</v>
      </c>
      <c r="K3" s="26">
        <v>8</v>
      </c>
      <c r="L3" s="26">
        <v>9</v>
      </c>
      <c r="M3" s="26">
        <v>10</v>
      </c>
      <c r="N3" s="26">
        <v>11</v>
      </c>
      <c r="O3" s="26">
        <v>12</v>
      </c>
      <c r="P3" s="26">
        <v>13</v>
      </c>
      <c r="Q3" s="26">
        <v>14</v>
      </c>
      <c r="R3" s="26">
        <v>15</v>
      </c>
      <c r="S3" s="26">
        <v>16</v>
      </c>
      <c r="T3" s="26">
        <v>17</v>
      </c>
      <c r="U3" s="26">
        <v>18</v>
      </c>
      <c r="V3" s="26">
        <v>19</v>
      </c>
      <c r="W3" s="26">
        <v>20</v>
      </c>
      <c r="X3" s="26">
        <v>21</v>
      </c>
      <c r="Y3" s="26">
        <v>22</v>
      </c>
      <c r="Z3" s="26">
        <v>23</v>
      </c>
      <c r="AA3" s="26">
        <v>24</v>
      </c>
      <c r="AB3" s="26">
        <v>25</v>
      </c>
      <c r="AC3" s="26">
        <v>26</v>
      </c>
      <c r="AD3" s="26">
        <v>27</v>
      </c>
      <c r="AE3" s="26">
        <v>28</v>
      </c>
      <c r="AF3" s="26">
        <v>29</v>
      </c>
      <c r="AG3" s="26">
        <v>30</v>
      </c>
      <c r="AH3" s="26">
        <v>31</v>
      </c>
      <c r="AI3" s="26">
        <v>32</v>
      </c>
      <c r="AJ3" s="26">
        <v>33</v>
      </c>
      <c r="AK3" s="26">
        <v>34</v>
      </c>
      <c r="AL3" s="26">
        <v>35</v>
      </c>
    </row>
    <row r="4" spans="2:38" ht="24.95" customHeight="1">
      <c r="B4" s="43" t="s">
        <v>97</v>
      </c>
      <c r="C4" s="41">
        <f t="shared" ref="C4:C25" si="0">SUM(D4:AL4)</f>
        <v>4193036.5599005441</v>
      </c>
      <c r="D4" s="41">
        <f>D5+D8</f>
        <v>97722.383837785557</v>
      </c>
      <c r="E4" s="41">
        <f t="shared" ref="E4:AG4" si="1">E5+E8</f>
        <v>158908.21475465008</v>
      </c>
      <c r="F4" s="41">
        <f t="shared" si="1"/>
        <v>44597.898853246588</v>
      </c>
      <c r="G4" s="41">
        <f t="shared" si="1"/>
        <v>54242.188591626764</v>
      </c>
      <c r="H4" s="41">
        <f t="shared" si="1"/>
        <v>61095.308416986627</v>
      </c>
      <c r="I4" s="41">
        <f t="shared" si="1"/>
        <v>64722.066147548714</v>
      </c>
      <c r="J4" s="41">
        <f t="shared" si="1"/>
        <v>66591.40387070096</v>
      </c>
      <c r="K4" s="41">
        <f t="shared" si="1"/>
        <v>70262.062217854953</v>
      </c>
      <c r="L4" s="41">
        <f t="shared" si="1"/>
        <v>74382.066791974721</v>
      </c>
      <c r="M4" s="41">
        <f t="shared" si="1"/>
        <v>78518.776586422639</v>
      </c>
      <c r="N4" s="41">
        <f t="shared" si="1"/>
        <v>82624.077209380383</v>
      </c>
      <c r="O4" s="41">
        <f t="shared" si="1"/>
        <v>86881.146439241478</v>
      </c>
      <c r="P4" s="41">
        <f t="shared" si="1"/>
        <v>91318.7950163114</v>
      </c>
      <c r="Q4" s="41">
        <f t="shared" si="1"/>
        <v>95844.515414449445</v>
      </c>
      <c r="R4" s="41">
        <f t="shared" si="1"/>
        <v>96645.500927492176</v>
      </c>
      <c r="S4" s="41">
        <f t="shared" si="1"/>
        <v>101178.81436332628</v>
      </c>
      <c r="T4" s="41">
        <f t="shared" si="1"/>
        <v>105788.83432081273</v>
      </c>
      <c r="U4" s="41">
        <f t="shared" si="1"/>
        <v>110473.5093547854</v>
      </c>
      <c r="V4" s="41">
        <f t="shared" si="1"/>
        <v>115232.38572736495</v>
      </c>
      <c r="W4" s="41">
        <f t="shared" si="1"/>
        <v>120136.30497800547</v>
      </c>
      <c r="X4" s="41">
        <f t="shared" si="1"/>
        <v>125250.90361858827</v>
      </c>
      <c r="Y4" s="41">
        <f t="shared" si="1"/>
        <v>130406.08927214963</v>
      </c>
      <c r="Z4" s="41">
        <f t="shared" si="1"/>
        <v>135593.54223130876</v>
      </c>
      <c r="AA4" s="41">
        <f t="shared" si="1"/>
        <v>140803.53201005305</v>
      </c>
      <c r="AB4" s="41">
        <f t="shared" si="1"/>
        <v>146025.43591836683</v>
      </c>
      <c r="AC4" s="41">
        <f t="shared" si="1"/>
        <v>151246.9716671404</v>
      </c>
      <c r="AD4" s="41">
        <f t="shared" si="1"/>
        <v>156453.87267038817</v>
      </c>
      <c r="AE4" s="41">
        <f t="shared" si="1"/>
        <v>161630.52571747208</v>
      </c>
      <c r="AF4" s="41">
        <f t="shared" si="1"/>
        <v>166758.75168885948</v>
      </c>
      <c r="AG4" s="41">
        <f t="shared" si="1"/>
        <v>171819.53914871582</v>
      </c>
      <c r="AH4" s="41">
        <f>AH5+AH8</f>
        <v>176793.43301848136</v>
      </c>
      <c r="AI4" s="41">
        <f>AI5+AI8</f>
        <v>181659.94611004196</v>
      </c>
      <c r="AJ4" s="41">
        <f>AJ5+AJ8</f>
        <v>186399.90751658328</v>
      </c>
      <c r="AK4" s="41">
        <f>AK5+AK8</f>
        <v>191001.10383613568</v>
      </c>
      <c r="AL4" s="41">
        <f>AL5+AL8</f>
        <v>194026.75165629195</v>
      </c>
    </row>
    <row r="5" spans="2:38" ht="18" customHeight="1">
      <c r="B5" s="155" t="s">
        <v>98</v>
      </c>
      <c r="C5" s="54">
        <f t="shared" si="0"/>
        <v>3933581.0998903485</v>
      </c>
      <c r="D5" s="54">
        <f>SUM(D6:D7)</f>
        <v>0</v>
      </c>
      <c r="E5" s="54">
        <f t="shared" ref="E5:AL5" si="2">SUM(E6:E7)</f>
        <v>0</v>
      </c>
      <c r="F5" s="54">
        <f t="shared" si="2"/>
        <v>41773.03743548692</v>
      </c>
      <c r="G5" s="54">
        <f t="shared" si="2"/>
        <v>54242.188591626764</v>
      </c>
      <c r="H5" s="54">
        <f t="shared" si="2"/>
        <v>61095.308416986627</v>
      </c>
      <c r="I5" s="54">
        <f t="shared" si="2"/>
        <v>64722.066147548714</v>
      </c>
      <c r="J5" s="54">
        <f t="shared" si="2"/>
        <v>66591.40387070096</v>
      </c>
      <c r="K5" s="54">
        <f t="shared" si="2"/>
        <v>70262.062217854953</v>
      </c>
      <c r="L5" s="54">
        <f t="shared" si="2"/>
        <v>74382.066791974721</v>
      </c>
      <c r="M5" s="54">
        <f t="shared" si="2"/>
        <v>78518.776586422639</v>
      </c>
      <c r="N5" s="54">
        <f t="shared" si="2"/>
        <v>82624.077209380383</v>
      </c>
      <c r="O5" s="54">
        <f t="shared" si="2"/>
        <v>86881.146439241478</v>
      </c>
      <c r="P5" s="54">
        <f t="shared" si="2"/>
        <v>91318.7950163114</v>
      </c>
      <c r="Q5" s="54">
        <f t="shared" si="2"/>
        <v>95844.515414449445</v>
      </c>
      <c r="R5" s="54">
        <f t="shared" si="2"/>
        <v>96645.500927492176</v>
      </c>
      <c r="S5" s="54">
        <f t="shared" si="2"/>
        <v>101178.81436332628</v>
      </c>
      <c r="T5" s="54">
        <f t="shared" si="2"/>
        <v>105788.83432081273</v>
      </c>
      <c r="U5" s="54">
        <f t="shared" si="2"/>
        <v>110473.5093547854</v>
      </c>
      <c r="V5" s="54">
        <f t="shared" si="2"/>
        <v>115232.38572736495</v>
      </c>
      <c r="W5" s="54">
        <f t="shared" si="2"/>
        <v>120136.30497800547</v>
      </c>
      <c r="X5" s="54">
        <f t="shared" si="2"/>
        <v>125250.90361858827</v>
      </c>
      <c r="Y5" s="54">
        <f t="shared" si="2"/>
        <v>130406.08927214963</v>
      </c>
      <c r="Z5" s="54">
        <f t="shared" si="2"/>
        <v>135593.54223130876</v>
      </c>
      <c r="AA5" s="54">
        <f t="shared" si="2"/>
        <v>140803.53201005305</v>
      </c>
      <c r="AB5" s="54">
        <f t="shared" si="2"/>
        <v>146025.43591836683</v>
      </c>
      <c r="AC5" s="54">
        <f t="shared" si="2"/>
        <v>151246.9716671404</v>
      </c>
      <c r="AD5" s="54">
        <f t="shared" si="2"/>
        <v>156453.87267038817</v>
      </c>
      <c r="AE5" s="54">
        <f t="shared" si="2"/>
        <v>161630.52571747208</v>
      </c>
      <c r="AF5" s="54">
        <f t="shared" si="2"/>
        <v>166758.75168885948</v>
      </c>
      <c r="AG5" s="54">
        <f t="shared" si="2"/>
        <v>171819.53914871582</v>
      </c>
      <c r="AH5" s="54">
        <f t="shared" si="2"/>
        <v>176793.43301848136</v>
      </c>
      <c r="AI5" s="54">
        <f t="shared" si="2"/>
        <v>181659.94611004196</v>
      </c>
      <c r="AJ5" s="54">
        <f t="shared" si="2"/>
        <v>186399.90751658328</v>
      </c>
      <c r="AK5" s="54">
        <f t="shared" si="2"/>
        <v>191001.10383613568</v>
      </c>
      <c r="AL5" s="54">
        <f t="shared" si="2"/>
        <v>194026.75165629195</v>
      </c>
    </row>
    <row r="6" spans="2:38" ht="18" customHeight="1">
      <c r="B6" s="48" t="s">
        <v>99</v>
      </c>
      <c r="C6" s="52">
        <f t="shared" si="0"/>
        <v>3933581.0998903485</v>
      </c>
      <c r="D6" s="49">
        <f t="array" ref="D6:AL6">TRANSPOSE(QDB!O6:O40)</f>
        <v>0</v>
      </c>
      <c r="E6" s="49">
        <v>0</v>
      </c>
      <c r="F6" s="49">
        <v>41773.03743548692</v>
      </c>
      <c r="G6" s="49">
        <v>54242.188591626764</v>
      </c>
      <c r="H6" s="49">
        <v>61095.308416986627</v>
      </c>
      <c r="I6" s="49">
        <v>64722.066147548714</v>
      </c>
      <c r="J6" s="49">
        <v>66591.40387070096</v>
      </c>
      <c r="K6" s="49">
        <v>70262.062217854953</v>
      </c>
      <c r="L6" s="49">
        <v>74382.066791974721</v>
      </c>
      <c r="M6" s="49">
        <v>78518.776586422639</v>
      </c>
      <c r="N6" s="49">
        <v>82624.077209380383</v>
      </c>
      <c r="O6" s="49">
        <v>86881.146439241478</v>
      </c>
      <c r="P6" s="49">
        <v>91318.7950163114</v>
      </c>
      <c r="Q6" s="49">
        <v>95844.515414449445</v>
      </c>
      <c r="R6" s="49">
        <v>96645.500927492176</v>
      </c>
      <c r="S6" s="49">
        <v>101178.81436332628</v>
      </c>
      <c r="T6" s="49">
        <v>105788.83432081273</v>
      </c>
      <c r="U6" s="49">
        <v>110473.5093547854</v>
      </c>
      <c r="V6" s="49">
        <v>115232.38572736495</v>
      </c>
      <c r="W6" s="49">
        <v>120136.30497800547</v>
      </c>
      <c r="X6" s="49">
        <v>125250.90361858827</v>
      </c>
      <c r="Y6" s="49">
        <v>130406.08927214963</v>
      </c>
      <c r="Z6" s="49">
        <v>135593.54223130876</v>
      </c>
      <c r="AA6" s="49">
        <v>140803.53201005305</v>
      </c>
      <c r="AB6" s="49">
        <v>146025.43591836683</v>
      </c>
      <c r="AC6" s="49">
        <v>151246.9716671404</v>
      </c>
      <c r="AD6" s="49">
        <v>156453.87267038817</v>
      </c>
      <c r="AE6" s="49">
        <v>161630.52571747208</v>
      </c>
      <c r="AF6" s="49">
        <v>166758.75168885948</v>
      </c>
      <c r="AG6" s="49">
        <v>171819.53914871582</v>
      </c>
      <c r="AH6" s="49">
        <v>176793.43301848136</v>
      </c>
      <c r="AI6" s="49">
        <v>181659.94611004196</v>
      </c>
      <c r="AJ6" s="49">
        <v>186399.90751658328</v>
      </c>
      <c r="AK6" s="49">
        <v>191001.10383613568</v>
      </c>
      <c r="AL6" s="49">
        <v>194026.75165629195</v>
      </c>
    </row>
    <row r="7" spans="2:38" ht="18" customHeight="1">
      <c r="B7" s="48" t="s">
        <v>370</v>
      </c>
      <c r="C7" s="52">
        <f t="shared" si="0"/>
        <v>0</v>
      </c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  <c r="R7" s="49"/>
      <c r="S7" s="49"/>
      <c r="T7" s="49"/>
      <c r="U7" s="49"/>
      <c r="V7" s="49"/>
      <c r="W7" s="49"/>
      <c r="X7" s="49"/>
      <c r="Y7" s="49"/>
      <c r="Z7" s="49"/>
      <c r="AA7" s="49"/>
      <c r="AB7" s="49"/>
      <c r="AC7" s="49"/>
      <c r="AD7" s="49"/>
      <c r="AE7" s="49"/>
      <c r="AF7" s="49"/>
      <c r="AG7" s="49"/>
      <c r="AH7" s="49"/>
      <c r="AI7" s="49"/>
      <c r="AJ7" s="49"/>
      <c r="AK7" s="49"/>
      <c r="AL7" s="49"/>
    </row>
    <row r="8" spans="2:38" ht="18" customHeight="1">
      <c r="B8" s="155" t="s">
        <v>107</v>
      </c>
      <c r="C8" s="54">
        <f t="shared" si="0"/>
        <v>259455.46001019533</v>
      </c>
      <c r="D8" s="54">
        <f>SUM(D9:D10)</f>
        <v>97722.383837785557</v>
      </c>
      <c r="E8" s="54">
        <f t="shared" ref="E8:AG8" si="3">SUM(E9:E10)</f>
        <v>158908.21475465008</v>
      </c>
      <c r="F8" s="54">
        <f t="shared" si="3"/>
        <v>2824.8614177596646</v>
      </c>
      <c r="G8" s="54">
        <f t="shared" si="3"/>
        <v>0</v>
      </c>
      <c r="H8" s="54">
        <f t="shared" si="3"/>
        <v>0</v>
      </c>
      <c r="I8" s="54">
        <f t="shared" si="3"/>
        <v>0</v>
      </c>
      <c r="J8" s="54">
        <f t="shared" si="3"/>
        <v>0</v>
      </c>
      <c r="K8" s="54">
        <f t="shared" si="3"/>
        <v>0</v>
      </c>
      <c r="L8" s="54">
        <f t="shared" si="3"/>
        <v>0</v>
      </c>
      <c r="M8" s="54">
        <f t="shared" si="3"/>
        <v>0</v>
      </c>
      <c r="N8" s="54">
        <f t="shared" si="3"/>
        <v>0</v>
      </c>
      <c r="O8" s="54">
        <f t="shared" si="3"/>
        <v>0</v>
      </c>
      <c r="P8" s="54">
        <f t="shared" si="3"/>
        <v>0</v>
      </c>
      <c r="Q8" s="54">
        <f t="shared" si="3"/>
        <v>0</v>
      </c>
      <c r="R8" s="54">
        <f t="shared" si="3"/>
        <v>0</v>
      </c>
      <c r="S8" s="54">
        <f t="shared" si="3"/>
        <v>0</v>
      </c>
      <c r="T8" s="54">
        <f t="shared" si="3"/>
        <v>0</v>
      </c>
      <c r="U8" s="54">
        <f t="shared" si="3"/>
        <v>0</v>
      </c>
      <c r="V8" s="54">
        <f t="shared" si="3"/>
        <v>0</v>
      </c>
      <c r="W8" s="54">
        <f t="shared" si="3"/>
        <v>0</v>
      </c>
      <c r="X8" s="54">
        <f t="shared" si="3"/>
        <v>0</v>
      </c>
      <c r="Y8" s="54">
        <f t="shared" si="3"/>
        <v>0</v>
      </c>
      <c r="Z8" s="54">
        <f t="shared" si="3"/>
        <v>0</v>
      </c>
      <c r="AA8" s="54">
        <f t="shared" si="3"/>
        <v>0</v>
      </c>
      <c r="AB8" s="54">
        <f t="shared" si="3"/>
        <v>0</v>
      </c>
      <c r="AC8" s="54">
        <f t="shared" si="3"/>
        <v>0</v>
      </c>
      <c r="AD8" s="54">
        <f t="shared" si="3"/>
        <v>0</v>
      </c>
      <c r="AE8" s="54">
        <f t="shared" si="3"/>
        <v>0</v>
      </c>
      <c r="AF8" s="54">
        <f t="shared" si="3"/>
        <v>0</v>
      </c>
      <c r="AG8" s="54">
        <f t="shared" si="3"/>
        <v>0</v>
      </c>
      <c r="AH8" s="54">
        <f>SUM(AH9:AH10)</f>
        <v>0</v>
      </c>
      <c r="AI8" s="54">
        <f>SUM(AI9:AI10)</f>
        <v>0</v>
      </c>
      <c r="AJ8" s="54">
        <f>SUM(AJ9:AJ10)</f>
        <v>0</v>
      </c>
      <c r="AK8" s="54">
        <f>SUM(AK9:AK10)</f>
        <v>0</v>
      </c>
      <c r="AL8" s="54">
        <f>SUM(AL9:AL10)</f>
        <v>0</v>
      </c>
    </row>
    <row r="9" spans="2:38" ht="18" customHeight="1">
      <c r="B9" s="48" t="s">
        <v>123</v>
      </c>
      <c r="C9" s="52">
        <f t="shared" si="0"/>
        <v>107531.48557563826</v>
      </c>
      <c r="D9" s="49">
        <f>QDC!C7</f>
        <v>73947.429420976914</v>
      </c>
      <c r="E9" s="49">
        <f>QDC!D7</f>
        <v>30759.194736901693</v>
      </c>
      <c r="F9" s="49">
        <f>QDC!E7</f>
        <v>2824.8614177596646</v>
      </c>
      <c r="G9" s="49">
        <f>QDC!F7</f>
        <v>0</v>
      </c>
      <c r="H9" s="49">
        <f>QDC!G7</f>
        <v>0</v>
      </c>
      <c r="I9" s="49">
        <f>QDC!H7</f>
        <v>0</v>
      </c>
      <c r="J9" s="49">
        <f>QDC!I7</f>
        <v>0</v>
      </c>
      <c r="K9" s="49">
        <f>QDC!J7</f>
        <v>0</v>
      </c>
      <c r="L9" s="49">
        <f>QDC!K7</f>
        <v>0</v>
      </c>
      <c r="M9" s="49">
        <f>QDC!L7</f>
        <v>0</v>
      </c>
      <c r="N9" s="49">
        <f>QDC!M7</f>
        <v>0</v>
      </c>
      <c r="O9" s="49">
        <f>QDC!N7</f>
        <v>0</v>
      </c>
      <c r="P9" s="49">
        <f>QDC!O7</f>
        <v>0</v>
      </c>
      <c r="Q9" s="49">
        <f>QDC!P7</f>
        <v>0</v>
      </c>
      <c r="R9" s="49">
        <f>QDC!Q7</f>
        <v>0</v>
      </c>
      <c r="S9" s="49">
        <f>QDC!R7</f>
        <v>0</v>
      </c>
      <c r="T9" s="49">
        <f>QDC!S7</f>
        <v>0</v>
      </c>
      <c r="U9" s="49">
        <f>QDC!T7</f>
        <v>0</v>
      </c>
      <c r="V9" s="49">
        <f>QDC!U7</f>
        <v>0</v>
      </c>
      <c r="W9" s="49">
        <f>QDC!V7</f>
        <v>0</v>
      </c>
      <c r="X9" s="49">
        <f>QDC!W7</f>
        <v>0</v>
      </c>
      <c r="Y9" s="49">
        <f>QDC!X7</f>
        <v>0</v>
      </c>
      <c r="Z9" s="49">
        <f>QDC!Y7</f>
        <v>0</v>
      </c>
      <c r="AA9" s="49">
        <f>QDC!Z7</f>
        <v>0</v>
      </c>
      <c r="AB9" s="49">
        <f>QDC!AA7</f>
        <v>0</v>
      </c>
      <c r="AC9" s="49">
        <f>QDC!AB7</f>
        <v>0</v>
      </c>
      <c r="AD9" s="49">
        <f>QDC!AC7</f>
        <v>0</v>
      </c>
      <c r="AE9" s="49">
        <f>QDC!AD7</f>
        <v>0</v>
      </c>
      <c r="AF9" s="49">
        <f>QDC!AE7</f>
        <v>0</v>
      </c>
      <c r="AG9" s="49">
        <f>QDC!AF7</f>
        <v>0</v>
      </c>
      <c r="AH9" s="49">
        <f>QDC!AG7</f>
        <v>0</v>
      </c>
      <c r="AI9" s="49">
        <f>QDC!AH7</f>
        <v>0</v>
      </c>
      <c r="AJ9" s="49">
        <f>QDC!AI7</f>
        <v>0</v>
      </c>
      <c r="AK9" s="49">
        <f>QDC!AJ7</f>
        <v>0</v>
      </c>
      <c r="AL9" s="49">
        <f>QDC!AK7</f>
        <v>0</v>
      </c>
    </row>
    <row r="10" spans="2:38" ht="18" customHeight="1">
      <c r="B10" s="48" t="s">
        <v>124</v>
      </c>
      <c r="C10" s="52">
        <f t="shared" si="0"/>
        <v>151923.97443455702</v>
      </c>
      <c r="D10" s="49">
        <f>QDH!D22</f>
        <v>23774.954416808643</v>
      </c>
      <c r="E10" s="49">
        <f>QDH!E22</f>
        <v>128149.02001774838</v>
      </c>
      <c r="F10" s="49">
        <f>QDH!F22</f>
        <v>0</v>
      </c>
      <c r="G10" s="49">
        <f>QDH!G22</f>
        <v>0</v>
      </c>
      <c r="H10" s="49">
        <f>QDH!H22</f>
        <v>0</v>
      </c>
      <c r="I10" s="49">
        <f>QDH!I22</f>
        <v>0</v>
      </c>
      <c r="J10" s="49">
        <f>QDH!J22</f>
        <v>0</v>
      </c>
      <c r="K10" s="49">
        <f>QDH!K22</f>
        <v>0</v>
      </c>
      <c r="L10" s="49">
        <f>QDH!L22</f>
        <v>0</v>
      </c>
      <c r="M10" s="49">
        <f>QDH!M22</f>
        <v>0</v>
      </c>
      <c r="N10" s="49">
        <f>QDH!N22</f>
        <v>0</v>
      </c>
      <c r="O10" s="49">
        <f>QDH!O22</f>
        <v>0</v>
      </c>
      <c r="P10" s="49">
        <f>QDH!P22</f>
        <v>0</v>
      </c>
      <c r="Q10" s="49">
        <f>QDH!Q22</f>
        <v>0</v>
      </c>
      <c r="R10" s="49">
        <f>QDH!R22</f>
        <v>0</v>
      </c>
      <c r="S10" s="49">
        <f>QDH!S22</f>
        <v>0</v>
      </c>
      <c r="T10" s="49">
        <f>QDH!T22</f>
        <v>0</v>
      </c>
      <c r="U10" s="49">
        <f>QDH!U22</f>
        <v>0</v>
      </c>
      <c r="V10" s="49">
        <f>QDH!V22</f>
        <v>0</v>
      </c>
      <c r="W10" s="49">
        <f>QDH!W22</f>
        <v>0</v>
      </c>
      <c r="X10" s="49">
        <f>QDH!X22</f>
        <v>0</v>
      </c>
      <c r="Y10" s="49">
        <f>QDH!Y22</f>
        <v>0</v>
      </c>
      <c r="Z10" s="49">
        <f>QDH!Z22</f>
        <v>0</v>
      </c>
      <c r="AA10" s="49">
        <f>QDH!AA22</f>
        <v>0</v>
      </c>
      <c r="AB10" s="49">
        <f>QDH!AB22</f>
        <v>0</v>
      </c>
      <c r="AC10" s="49">
        <f>QDH!AC22</f>
        <v>0</v>
      </c>
      <c r="AD10" s="49">
        <f>QDH!AD22</f>
        <v>0</v>
      </c>
      <c r="AE10" s="49">
        <f>QDH!AE22</f>
        <v>0</v>
      </c>
      <c r="AF10" s="49">
        <f>QDH!AF22</f>
        <v>0</v>
      </c>
      <c r="AG10" s="49">
        <f>QDH!AG22</f>
        <v>0</v>
      </c>
      <c r="AH10" s="49">
        <f>QDH!AH22</f>
        <v>0</v>
      </c>
      <c r="AI10" s="49">
        <f>QDH!AI22</f>
        <v>0</v>
      </c>
      <c r="AJ10" s="49">
        <f>QDH!AJ22</f>
        <v>0</v>
      </c>
      <c r="AK10" s="49">
        <f>QDH!AK22</f>
        <v>0</v>
      </c>
      <c r="AL10" s="49">
        <f>QDH!AL22</f>
        <v>0</v>
      </c>
    </row>
    <row r="11" spans="2:38" ht="24.95" customHeight="1">
      <c r="B11" s="43" t="s">
        <v>100</v>
      </c>
      <c r="C11" s="41">
        <f t="shared" si="0"/>
        <v>2658692.8161074272</v>
      </c>
      <c r="D11" s="41">
        <f t="shared" ref="D11:AG11" si="4">D12+D23+D28</f>
        <v>97722.383837785557</v>
      </c>
      <c r="E11" s="41">
        <f t="shared" si="4"/>
        <v>158908.21475465008</v>
      </c>
      <c r="F11" s="41">
        <f t="shared" si="4"/>
        <v>46244.599449069239</v>
      </c>
      <c r="G11" s="41">
        <f t="shared" si="4"/>
        <v>48188.435422878909</v>
      </c>
      <c r="H11" s="41">
        <f t="shared" si="4"/>
        <v>49758.811262116913</v>
      </c>
      <c r="I11" s="41">
        <f t="shared" si="4"/>
        <v>50787.690724217107</v>
      </c>
      <c r="J11" s="41">
        <f t="shared" si="4"/>
        <v>51699.328542861906</v>
      </c>
      <c r="K11" s="41">
        <f t="shared" si="4"/>
        <v>51951.969582066769</v>
      </c>
      <c r="L11" s="41">
        <f t="shared" si="4"/>
        <v>53990.432921219566</v>
      </c>
      <c r="M11" s="41">
        <f t="shared" si="4"/>
        <v>53497.545811114702</v>
      </c>
      <c r="N11" s="41">
        <f t="shared" si="4"/>
        <v>57938.899957621739</v>
      </c>
      <c r="O11" s="41">
        <f t="shared" si="4"/>
        <v>63799.032783382019</v>
      </c>
      <c r="P11" s="41">
        <f t="shared" si="4"/>
        <v>66244.499694875325</v>
      </c>
      <c r="Q11" s="41">
        <f t="shared" si="4"/>
        <v>78845.608840483546</v>
      </c>
      <c r="R11" s="41">
        <f t="shared" si="4"/>
        <v>71026.028932224479</v>
      </c>
      <c r="S11" s="41">
        <f t="shared" si="4"/>
        <v>59171.663470989603</v>
      </c>
      <c r="T11" s="41">
        <f t="shared" si="4"/>
        <v>69682.03037809502</v>
      </c>
      <c r="U11" s="41">
        <f t="shared" si="4"/>
        <v>61541.0025930212</v>
      </c>
      <c r="V11" s="41">
        <f t="shared" si="4"/>
        <v>65843.454756414139</v>
      </c>
      <c r="W11" s="41">
        <f t="shared" si="4"/>
        <v>66656.834957125102</v>
      </c>
      <c r="X11" s="41">
        <f t="shared" si="4"/>
        <v>72800.038436661416</v>
      </c>
      <c r="Y11" s="41">
        <f t="shared" si="4"/>
        <v>72838.231057860612</v>
      </c>
      <c r="Z11" s="41">
        <f t="shared" si="4"/>
        <v>74599.95548835615</v>
      </c>
      <c r="AA11" s="41">
        <f t="shared" si="4"/>
        <v>90182.678581760076</v>
      </c>
      <c r="AB11" s="41">
        <f t="shared" si="4"/>
        <v>79031.395128315839</v>
      </c>
      <c r="AC11" s="41">
        <f t="shared" si="4"/>
        <v>81586.151616643416</v>
      </c>
      <c r="AD11" s="41">
        <f t="shared" si="4"/>
        <v>83674.858474701818</v>
      </c>
      <c r="AE11" s="41">
        <f t="shared" si="4"/>
        <v>86018.985696535252</v>
      </c>
      <c r="AF11" s="41">
        <f t="shared" si="4"/>
        <v>91050.290743308899</v>
      </c>
      <c r="AG11" s="41">
        <f t="shared" si="4"/>
        <v>112425.04775719516</v>
      </c>
      <c r="AH11" s="41">
        <f>AH12+AH23+AH28</f>
        <v>96239.273694554926</v>
      </c>
      <c r="AI11" s="41">
        <f>AI12+AI23+AI28</f>
        <v>93547.516893996071</v>
      </c>
      <c r="AJ11" s="41">
        <f>AJ12+AJ23+AJ28</f>
        <v>95816.869669207677</v>
      </c>
      <c r="AK11" s="41">
        <f>AK12+AK23+AK28</f>
        <v>102743.05268262389</v>
      </c>
      <c r="AL11" s="41">
        <f>AL12+AL23+AL28</f>
        <v>102640.00151349344</v>
      </c>
    </row>
    <row r="12" spans="2:38" ht="18" customHeight="1">
      <c r="B12" s="155" t="s">
        <v>102</v>
      </c>
      <c r="C12" s="54">
        <f t="shared" si="0"/>
        <v>2132340.6864651954</v>
      </c>
      <c r="D12" s="54">
        <f>SUM(D13:D22)</f>
        <v>12708.10588801345</v>
      </c>
      <c r="E12" s="54">
        <f t="shared" ref="E12:AG12" si="5">SUM(E13:E22)</f>
        <v>17888.181316817871</v>
      </c>
      <c r="F12" s="54">
        <f t="shared" si="5"/>
        <v>26005.804079786783</v>
      </c>
      <c r="G12" s="54">
        <f t="shared" si="5"/>
        <v>29759.876237507244</v>
      </c>
      <c r="H12" s="54">
        <f t="shared" si="5"/>
        <v>32088.780806683382</v>
      </c>
      <c r="I12" s="54">
        <f t="shared" si="5"/>
        <v>33274.239926196722</v>
      </c>
      <c r="J12" s="54">
        <f t="shared" si="5"/>
        <v>34434.743216342154</v>
      </c>
      <c r="K12" s="54">
        <f t="shared" si="5"/>
        <v>35698.355547672661</v>
      </c>
      <c r="L12" s="54">
        <f t="shared" si="5"/>
        <v>37252.688139593673</v>
      </c>
      <c r="M12" s="54">
        <f t="shared" si="5"/>
        <v>38124.171603284369</v>
      </c>
      <c r="N12" s="54">
        <f t="shared" si="5"/>
        <v>40758.109499792045</v>
      </c>
      <c r="O12" s="54">
        <f t="shared" si="5"/>
        <v>49987.762380240463</v>
      </c>
      <c r="P12" s="54">
        <f t="shared" si="5"/>
        <v>52319.076010484416</v>
      </c>
      <c r="Q12" s="54">
        <f t="shared" si="5"/>
        <v>54354.870684251466</v>
      </c>
      <c r="R12" s="54">
        <f t="shared" si="5"/>
        <v>55067.730430010139</v>
      </c>
      <c r="S12" s="54">
        <f t="shared" si="5"/>
        <v>57550.082081927103</v>
      </c>
      <c r="T12" s="54">
        <f t="shared" si="5"/>
        <v>59647.807479719224</v>
      </c>
      <c r="U12" s="54">
        <f t="shared" si="5"/>
        <v>61541.0025930212</v>
      </c>
      <c r="V12" s="54">
        <f t="shared" si="5"/>
        <v>64010.890112306712</v>
      </c>
      <c r="W12" s="54">
        <f t="shared" si="5"/>
        <v>66656.834957125102</v>
      </c>
      <c r="X12" s="54">
        <f t="shared" si="5"/>
        <v>69678.273089786409</v>
      </c>
      <c r="Y12" s="54">
        <f t="shared" si="5"/>
        <v>72020.999868798113</v>
      </c>
      <c r="Z12" s="54">
        <f t="shared" si="5"/>
        <v>74454.297888356145</v>
      </c>
      <c r="AA12" s="54">
        <f t="shared" si="5"/>
        <v>76400.040624957343</v>
      </c>
      <c r="AB12" s="54">
        <f t="shared" si="5"/>
        <v>78386.039139253335</v>
      </c>
      <c r="AC12" s="54">
        <f t="shared" si="5"/>
        <v>80777.393616643414</v>
      </c>
      <c r="AD12" s="54">
        <f t="shared" si="5"/>
        <v>83213.797874701821</v>
      </c>
      <c r="AE12" s="54">
        <f t="shared" si="5"/>
        <v>85519.287307472754</v>
      </c>
      <c r="AF12" s="54">
        <f t="shared" si="5"/>
        <v>88214.399407013974</v>
      </c>
      <c r="AG12" s="54">
        <f t="shared" si="5"/>
        <v>90889.664257195167</v>
      </c>
      <c r="AH12" s="54">
        <f>SUM(AH13:AH22)</f>
        <v>91456.549370531488</v>
      </c>
      <c r="AI12" s="54">
        <f>SUM(AI13:AI22)</f>
        <v>93547.516893996071</v>
      </c>
      <c r="AJ12" s="54">
        <f>SUM(AJ13:AJ22)</f>
        <v>95671.212069207671</v>
      </c>
      <c r="AK12" s="54">
        <f>SUM(AK13:AK22)</f>
        <v>97172.238049512176</v>
      </c>
      <c r="AL12" s="54">
        <f>SUM(AL13:AL22)</f>
        <v>95809.864016993437</v>
      </c>
    </row>
    <row r="13" spans="2:38" ht="18" customHeight="1">
      <c r="B13" s="48" t="s">
        <v>101</v>
      </c>
      <c r="C13" s="52">
        <f t="shared" si="0"/>
        <v>555533.45537539967</v>
      </c>
      <c r="D13" s="49">
        <f>QDK!D13</f>
        <v>7455.8457163747034</v>
      </c>
      <c r="E13" s="49">
        <f>QDK!E13</f>
        <v>9922.863516580006</v>
      </c>
      <c r="F13" s="49">
        <f>QDK!F13</f>
        <v>12321.595480450731</v>
      </c>
      <c r="G13" s="49">
        <f>QDK!G13</f>
        <v>12682.523364228677</v>
      </c>
      <c r="H13" s="49">
        <f>QDK!H13</f>
        <v>12761.712849421538</v>
      </c>
      <c r="I13" s="49">
        <f>QDK!I13</f>
        <v>12875.347534140599</v>
      </c>
      <c r="J13" s="49">
        <f>QDK!J13</f>
        <v>12979.233453086083</v>
      </c>
      <c r="K13" s="49">
        <f>QDK!K13</f>
        <v>13082.453213821447</v>
      </c>
      <c r="L13" s="49">
        <f>QDK!L13</f>
        <v>13400.647708165157</v>
      </c>
      <c r="M13" s="49">
        <f>QDK!M13</f>
        <v>13506.805895015372</v>
      </c>
      <c r="N13" s="49">
        <f>QDK!N13</f>
        <v>13683.354426034399</v>
      </c>
      <c r="O13" s="49">
        <f>QDK!O13</f>
        <v>13859.607490079939</v>
      </c>
      <c r="P13" s="49">
        <f>QDK!P13</f>
        <v>14034.809669827671</v>
      </c>
      <c r="Q13" s="49">
        <f>QDK!Q13</f>
        <v>14208.340441234743</v>
      </c>
      <c r="R13" s="49">
        <f>QDK!R13</f>
        <v>14811.531761109753</v>
      </c>
      <c r="S13" s="49">
        <f>QDK!S13</f>
        <v>15504.440541601485</v>
      </c>
      <c r="T13" s="49">
        <f>QDK!T13</f>
        <v>15681.048116952637</v>
      </c>
      <c r="U13" s="49">
        <f>QDK!U13</f>
        <v>15854.650121104696</v>
      </c>
      <c r="V13" s="49">
        <f>QDK!V13</f>
        <v>16025.393135193557</v>
      </c>
      <c r="W13" s="49">
        <f>QDK!W13</f>
        <v>16195.890416402099</v>
      </c>
      <c r="X13" s="49">
        <f>QDK!X13</f>
        <v>17486.588340631086</v>
      </c>
      <c r="Y13" s="49">
        <f>QDK!Y13</f>
        <v>17724.098651725501</v>
      </c>
      <c r="Z13" s="49">
        <f>QDK!Z13</f>
        <v>17956.765442127107</v>
      </c>
      <c r="AA13" s="49">
        <f>QDK!AA13</f>
        <v>18184.45332274575</v>
      </c>
      <c r="AB13" s="49">
        <f>QDK!AB13</f>
        <v>18407.004305323651</v>
      </c>
      <c r="AC13" s="49">
        <f>QDK!AC13</f>
        <v>18624.207794792401</v>
      </c>
      <c r="AD13" s="49">
        <f>QDK!AD13</f>
        <v>18835.79255388027</v>
      </c>
      <c r="AE13" s="49">
        <f>QDK!AE13</f>
        <v>19041.457643620968</v>
      </c>
      <c r="AF13" s="49">
        <f>QDK!AF13</f>
        <v>19240.826766946637</v>
      </c>
      <c r="AG13" s="49">
        <f>QDK!AG13</f>
        <v>19433.520296761293</v>
      </c>
      <c r="AH13" s="49">
        <f>QDK!AH13</f>
        <v>19619.167915325561</v>
      </c>
      <c r="AI13" s="49">
        <f>QDK!AI13</f>
        <v>19797.383750828383</v>
      </c>
      <c r="AJ13" s="49">
        <f>QDK!AJ13</f>
        <v>19967.8495920323</v>
      </c>
      <c r="AK13" s="49">
        <f>QDK!AK13</f>
        <v>20130.505674329655</v>
      </c>
      <c r="AL13" s="49">
        <f>QDK!AL13</f>
        <v>20235.738473503752</v>
      </c>
    </row>
    <row r="14" spans="2:38" ht="18" customHeight="1">
      <c r="B14" s="48" t="s">
        <v>114</v>
      </c>
      <c r="C14" s="52">
        <f t="shared" si="0"/>
        <v>175094.08766201604</v>
      </c>
      <c r="D14" s="49">
        <f>QDK!D14</f>
        <v>532.38852659932547</v>
      </c>
      <c r="E14" s="49">
        <f>QDK!E14</f>
        <v>2378.4067906892178</v>
      </c>
      <c r="F14" s="49">
        <f>QDK!F14</f>
        <v>3046.9095942757403</v>
      </c>
      <c r="G14" s="49">
        <f>QDK!G14</f>
        <v>3216.6593345233232</v>
      </c>
      <c r="H14" s="49">
        <f>QDK!H14</f>
        <v>4358.5917987597431</v>
      </c>
      <c r="I14" s="49">
        <f>QDK!I14</f>
        <v>4397.402200679544</v>
      </c>
      <c r="J14" s="49">
        <f>QDK!J14</f>
        <v>4432.8830424493799</v>
      </c>
      <c r="K14" s="49">
        <f>QDK!K14</f>
        <v>4468.1363668204503</v>
      </c>
      <c r="L14" s="49">
        <f>QDK!L14</f>
        <v>4503.7080523759996</v>
      </c>
      <c r="M14" s="49">
        <f>QDK!M14</f>
        <v>4539.3878566308413</v>
      </c>
      <c r="N14" s="49">
        <f>QDK!N14</f>
        <v>4598.7133687048117</v>
      </c>
      <c r="O14" s="49">
        <f>QDK!O14</f>
        <v>4887.5531848316696</v>
      </c>
      <c r="P14" s="49">
        <f>QDK!P14</f>
        <v>4949.3377607822076</v>
      </c>
      <c r="Q14" s="49">
        <f>QDK!Q14</f>
        <v>5010.5329190912707</v>
      </c>
      <c r="R14" s="49">
        <f>QDK!R14</f>
        <v>5070.9497605854531</v>
      </c>
      <c r="S14" s="49">
        <f>QDK!S14</f>
        <v>5130.4150343475194</v>
      </c>
      <c r="T14" s="49">
        <f>QDK!T14</f>
        <v>5188.854431585366</v>
      </c>
      <c r="U14" s="49">
        <f>QDK!U14</f>
        <v>5246.2992861549201</v>
      </c>
      <c r="V14" s="49">
        <f>QDK!V14</f>
        <v>5302.7981017130096</v>
      </c>
      <c r="W14" s="49">
        <f>QDK!W14</f>
        <v>5359.2156043298</v>
      </c>
      <c r="X14" s="49">
        <f>QDK!X14</f>
        <v>5434.5082326517668</v>
      </c>
      <c r="Y14" s="49">
        <f>QDK!Y14</f>
        <v>5508.3220444622248</v>
      </c>
      <c r="Z14" s="49">
        <f>QDK!Z14</f>
        <v>5580.6305796248107</v>
      </c>
      <c r="AA14" s="49">
        <f>QDK!AA14</f>
        <v>5651.3917617143979</v>
      </c>
      <c r="AB14" s="49">
        <f>QDK!AB14</f>
        <v>5720.5564909025434</v>
      </c>
      <c r="AC14" s="49">
        <f>QDK!AC14</f>
        <v>5788.059318137055</v>
      </c>
      <c r="AD14" s="49">
        <f>QDK!AD14</f>
        <v>5853.81594789055</v>
      </c>
      <c r="AE14" s="49">
        <f>QDK!AE14</f>
        <v>5917.7328538983302</v>
      </c>
      <c r="AF14" s="49">
        <f>QDK!AF14</f>
        <v>5979.6930899915205</v>
      </c>
      <c r="AG14" s="49">
        <f>QDK!AG14</f>
        <v>6039.5786750900879</v>
      </c>
      <c r="AH14" s="49">
        <f>QDK!AH14</f>
        <v>6097.2745212898553</v>
      </c>
      <c r="AI14" s="49">
        <f>QDK!AI14</f>
        <v>6152.6607067688492</v>
      </c>
      <c r="AJ14" s="49">
        <f>QDK!AJ14</f>
        <v>6205.638337359951</v>
      </c>
      <c r="AK14" s="49">
        <f>QDK!AK14</f>
        <v>6256.1888393284753</v>
      </c>
      <c r="AL14" s="49">
        <f>QDK!AL14</f>
        <v>6288.8932469760093</v>
      </c>
    </row>
    <row r="15" spans="2:38" ht="18" customHeight="1">
      <c r="B15" s="48" t="s">
        <v>115</v>
      </c>
      <c r="C15" s="52">
        <f t="shared" si="0"/>
        <v>21896.667300547972</v>
      </c>
      <c r="D15" s="49">
        <f>QDK!D15</f>
        <v>118.76522981437165</v>
      </c>
      <c r="E15" s="49">
        <f>QDK!E15</f>
        <v>197.05582360801702</v>
      </c>
      <c r="F15" s="49">
        <f>QDK!F15</f>
        <v>303.8858281125481</v>
      </c>
      <c r="G15" s="49">
        <f>QDK!G15</f>
        <v>687.68298373774769</v>
      </c>
      <c r="H15" s="49">
        <f>QDK!H15</f>
        <v>571.60816320478921</v>
      </c>
      <c r="I15" s="49">
        <f>QDK!I15</f>
        <v>695.89063470170402</v>
      </c>
      <c r="J15" s="49">
        <f>QDK!J15</f>
        <v>640.86064606995956</v>
      </c>
      <c r="K15" s="49">
        <f>QDK!K15</f>
        <v>543.2823971160982</v>
      </c>
      <c r="L15" s="49">
        <f>QDK!L15</f>
        <v>723.73892834590288</v>
      </c>
      <c r="M15" s="49">
        <f>QDK!M15</f>
        <v>636.03212685933693</v>
      </c>
      <c r="N15" s="49">
        <f>QDK!N15</f>
        <v>628.52976744456009</v>
      </c>
      <c r="O15" s="49">
        <f>QDK!O15</f>
        <v>637.88683734361905</v>
      </c>
      <c r="P15" s="49">
        <f>QDK!P15</f>
        <v>643.852989950081</v>
      </c>
      <c r="Q15" s="49">
        <f>QDK!Q15</f>
        <v>543.42308677105757</v>
      </c>
      <c r="R15" s="49">
        <f>QDK!R15</f>
        <v>566.04252592195132</v>
      </c>
      <c r="S15" s="49">
        <f>QDK!S15</f>
        <v>574.35477704955088</v>
      </c>
      <c r="T15" s="49">
        <f>QDK!T15</f>
        <v>596.7400435757861</v>
      </c>
      <c r="U15" s="49">
        <f>QDK!U15</f>
        <v>603.3464430173226</v>
      </c>
      <c r="V15" s="49">
        <f>QDK!V15</f>
        <v>609.84404400086248</v>
      </c>
      <c r="W15" s="49">
        <f>QDK!W15</f>
        <v>616.33229365478348</v>
      </c>
      <c r="X15" s="49">
        <f>QDK!X15</f>
        <v>647.42749585441584</v>
      </c>
      <c r="Y15" s="49">
        <f>QDK!Y15</f>
        <v>673.03947143242544</v>
      </c>
      <c r="Z15" s="49">
        <f>QDK!Z15</f>
        <v>681.87455730668125</v>
      </c>
      <c r="AA15" s="49">
        <f>QDK!AA15</f>
        <v>690.5205784011431</v>
      </c>
      <c r="AB15" s="49">
        <f>QDK!AB15</f>
        <v>698.97153540743443</v>
      </c>
      <c r="AC15" s="49">
        <f>QDK!AC15</f>
        <v>689.54698194831383</v>
      </c>
      <c r="AD15" s="49">
        <f>QDK!AD15</f>
        <v>715.25396656716441</v>
      </c>
      <c r="AE15" s="49">
        <f>QDK!AE15</f>
        <v>723.06371339892803</v>
      </c>
      <c r="AF15" s="49">
        <f>QDK!AF15</f>
        <v>730.63438269048004</v>
      </c>
      <c r="AG15" s="49">
        <f>QDK!AG15</f>
        <v>737.95155881341248</v>
      </c>
      <c r="AH15" s="49">
        <f>QDK!AH15</f>
        <v>726.38461584028551</v>
      </c>
      <c r="AI15" s="49">
        <f>QDK!AI15</f>
        <v>751.76859242459989</v>
      </c>
      <c r="AJ15" s="49">
        <f>QDK!AJ15</f>
        <v>758.24171367694612</v>
      </c>
      <c r="AK15" s="49">
        <f>QDK!AK15</f>
        <v>764.41827395263738</v>
      </c>
      <c r="AL15" s="49">
        <f>QDK!AL15</f>
        <v>768.41429253305728</v>
      </c>
    </row>
    <row r="16" spans="2:38" ht="18" customHeight="1">
      <c r="B16" s="48" t="s">
        <v>116</v>
      </c>
      <c r="C16" s="52">
        <f t="shared" si="0"/>
        <v>70141.1622150115</v>
      </c>
      <c r="D16" s="49">
        <f>QDK!D16</f>
        <v>562.10918400000014</v>
      </c>
      <c r="E16" s="49">
        <f>QDK!E16</f>
        <v>1294.3371770228121</v>
      </c>
      <c r="F16" s="49">
        <f>QDK!F16</f>
        <v>1598.1340522373409</v>
      </c>
      <c r="G16" s="49">
        <f>QDK!G16</f>
        <v>1643.1975143773714</v>
      </c>
      <c r="H16" s="49">
        <f>QDK!H16</f>
        <v>1661.3973569961843</v>
      </c>
      <c r="I16" s="49">
        <f>QDK!I16</f>
        <v>1684.4760694446877</v>
      </c>
      <c r="J16" s="49">
        <f>QDK!J16</f>
        <v>1706.6612181419064</v>
      </c>
      <c r="K16" s="49">
        <f>QDK!K16</f>
        <v>1729.0999239654764</v>
      </c>
      <c r="L16" s="49">
        <f>QDK!L16</f>
        <v>1751.9636027797314</v>
      </c>
      <c r="M16" s="49">
        <f>QDK!M16</f>
        <v>1775.126297032225</v>
      </c>
      <c r="N16" s="49">
        <f>QDK!N16</f>
        <v>1807.7967962140203</v>
      </c>
      <c r="O16" s="49">
        <f>QDK!O16</f>
        <v>1840.6791721804709</v>
      </c>
      <c r="P16" s="49">
        <f>QDK!P16</f>
        <v>1873.6127142145867</v>
      </c>
      <c r="Q16" s="49">
        <f>QDK!Q16</f>
        <v>1906.4481506855027</v>
      </c>
      <c r="R16" s="49">
        <f>QDK!R16</f>
        <v>1939.042149555642</v>
      </c>
      <c r="S16" s="49">
        <f>QDK!S16</f>
        <v>1971.2530383583849</v>
      </c>
      <c r="T16" s="49">
        <f>QDK!T16</f>
        <v>2002.9741368200482</v>
      </c>
      <c r="U16" s="49">
        <f>QDK!U16</f>
        <v>2034.1383319374229</v>
      </c>
      <c r="V16" s="49">
        <f>QDK!V16</f>
        <v>2064.6856106342325</v>
      </c>
      <c r="W16" s="49">
        <f>QDK!W16</f>
        <v>2094.87657996189</v>
      </c>
      <c r="X16" s="49">
        <f>QDK!X16</f>
        <v>2132.0768613663517</v>
      </c>
      <c r="Y16" s="49">
        <f>QDK!Y16</f>
        <v>2168.2804947669665</v>
      </c>
      <c r="Z16" s="49">
        <f>QDK!Z16</f>
        <v>2203.3999793672383</v>
      </c>
      <c r="AA16" s="49">
        <f>QDK!AA16</f>
        <v>2237.3464964119662</v>
      </c>
      <c r="AB16" s="49">
        <f>QDK!AB16</f>
        <v>2270.0342245849902</v>
      </c>
      <c r="AC16" s="49">
        <f>QDK!AC16</f>
        <v>2301.3774947374854</v>
      </c>
      <c r="AD16" s="49">
        <f>QDK!AD16</f>
        <v>2331.290518612358</v>
      </c>
      <c r="AE16" s="49">
        <f>QDK!AE16</f>
        <v>2359.6918382708609</v>
      </c>
      <c r="AF16" s="49">
        <f>QDK!AF16</f>
        <v>2386.4991895008138</v>
      </c>
      <c r="AG16" s="49">
        <f>QDK!AG16</f>
        <v>2411.6388183547347</v>
      </c>
      <c r="AH16" s="49">
        <f>QDK!AH16</f>
        <v>2435.9169870672567</v>
      </c>
      <c r="AI16" s="49">
        <f>QDK!AI16</f>
        <v>2459.2839591489887</v>
      </c>
      <c r="AJ16" s="49">
        <f>QDK!AJ16</f>
        <v>2481.6983315384309</v>
      </c>
      <c r="AK16" s="49">
        <f>QDK!AK16</f>
        <v>2503.1507817866095</v>
      </c>
      <c r="AL16" s="49">
        <f>QDK!AL16</f>
        <v>2517.4671629365248</v>
      </c>
    </row>
    <row r="17" spans="2:38" ht="18" customHeight="1">
      <c r="B17" s="48" t="s">
        <v>117</v>
      </c>
      <c r="C17" s="52">
        <f t="shared" si="0"/>
        <v>204993.83585308053</v>
      </c>
      <c r="D17" s="49">
        <f>QDL!D14</f>
        <v>3459.9572243151924</v>
      </c>
      <c r="E17" s="49">
        <f>QDL!E14</f>
        <v>3316.7292227386934</v>
      </c>
      <c r="F17" s="49">
        <f>QDL!F14</f>
        <v>4242.2781619012985</v>
      </c>
      <c r="G17" s="49">
        <f>QDL!G14</f>
        <v>4786.2298379275198</v>
      </c>
      <c r="H17" s="49">
        <f>QDL!H14</f>
        <v>4930.9333308119467</v>
      </c>
      <c r="I17" s="49">
        <f>QDL!I14</f>
        <v>4936.8541205315132</v>
      </c>
      <c r="J17" s="49">
        <f>QDL!J14</f>
        <v>4965.7241270830964</v>
      </c>
      <c r="K17" s="49">
        <f>QDL!K14</f>
        <v>5061.284991843605</v>
      </c>
      <c r="L17" s="49">
        <f>QDL!L14</f>
        <v>5109.5328601337969</v>
      </c>
      <c r="M17" s="49">
        <f>QDL!M14</f>
        <v>5201.3323989291948</v>
      </c>
      <c r="N17" s="49">
        <f>QDL!N14</f>
        <v>5265.4839318013637</v>
      </c>
      <c r="O17" s="49">
        <f>QDL!O14</f>
        <v>5329.3540538656125</v>
      </c>
      <c r="P17" s="49">
        <f>QDL!P14</f>
        <v>5386.3972891631192</v>
      </c>
      <c r="Q17" s="49">
        <f>QDL!Q14</f>
        <v>5514.0018512131155</v>
      </c>
      <c r="R17" s="49">
        <f>QDL!R14</f>
        <v>5661.2908632012068</v>
      </c>
      <c r="S17" s="49">
        <f>QDL!S14</f>
        <v>5653.4192457540357</v>
      </c>
      <c r="T17" s="49">
        <f>QDL!T14</f>
        <v>5783.8023531279969</v>
      </c>
      <c r="U17" s="49">
        <f>QDL!U14</f>
        <v>5846.3947932214041</v>
      </c>
      <c r="V17" s="49">
        <f>QDL!V14</f>
        <v>5900.8074621785472</v>
      </c>
      <c r="W17" s="49">
        <f>QDL!W14</f>
        <v>6100.4805918775555</v>
      </c>
      <c r="X17" s="49">
        <f>QDL!X14</f>
        <v>6160.9188827995777</v>
      </c>
      <c r="Y17" s="49">
        <f>QDL!Y14</f>
        <v>6235.1417213526738</v>
      </c>
      <c r="Z17" s="49">
        <f>QDL!Z14</f>
        <v>6386.7981585723001</v>
      </c>
      <c r="AA17" s="49">
        <f>QDL!AA14</f>
        <v>6464.5095047149462</v>
      </c>
      <c r="AB17" s="49">
        <f>QDL!AB14</f>
        <v>6606.5327325414219</v>
      </c>
      <c r="AC17" s="49">
        <f>QDL!AC14</f>
        <v>6678.8811604938846</v>
      </c>
      <c r="AD17" s="49">
        <f>QDL!AD14</f>
        <v>6748.594355543104</v>
      </c>
      <c r="AE17" s="49">
        <f>QDL!AE14</f>
        <v>6807.8273470165968</v>
      </c>
      <c r="AF17" s="49">
        <f>QDL!AF14</f>
        <v>6949.1795984253249</v>
      </c>
      <c r="AG17" s="49">
        <f>QDL!AG14</f>
        <v>7089.0114821535099</v>
      </c>
      <c r="AH17" s="49">
        <f>QDL!AH14</f>
        <v>7067.2501157482529</v>
      </c>
      <c r="AI17" s="49">
        <f>QDL!AI14</f>
        <v>7208.8814446938477</v>
      </c>
      <c r="AJ17" s="49">
        <f>QDL!AJ14</f>
        <v>7268.9418525413548</v>
      </c>
      <c r="AK17" s="49">
        <f>QDL!AK14</f>
        <v>7318.3359002576935</v>
      </c>
      <c r="AL17" s="49">
        <f>QDL!AL14</f>
        <v>7550.7428846062176</v>
      </c>
    </row>
    <row r="18" spans="2:38" ht="18" customHeight="1">
      <c r="B18" s="48" t="s">
        <v>118</v>
      </c>
      <c r="C18" s="52">
        <f t="shared" si="0"/>
        <v>39624.86207868177</v>
      </c>
      <c r="D18" s="49">
        <f>QDK!D18</f>
        <v>579.04000690985606</v>
      </c>
      <c r="E18" s="49">
        <f>QDK!E18</f>
        <v>778.78878617912414</v>
      </c>
      <c r="F18" s="49">
        <f>QDK!F18</f>
        <v>879.63322463950726</v>
      </c>
      <c r="G18" s="49">
        <f>QDK!G18</f>
        <v>893.83273721416685</v>
      </c>
      <c r="H18" s="49">
        <f>QDK!H18</f>
        <v>906.83351919633242</v>
      </c>
      <c r="I18" s="49">
        <f>QDK!I18</f>
        <v>921.04600512168372</v>
      </c>
      <c r="J18" s="49">
        <f>QDK!J18</f>
        <v>936.10340478264834</v>
      </c>
      <c r="K18" s="49">
        <f>QDK!K18</f>
        <v>951.2715480503432</v>
      </c>
      <c r="L18" s="49">
        <f>QDK!L18</f>
        <v>967.99058941989756</v>
      </c>
      <c r="M18" s="49">
        <f>QDK!M18</f>
        <v>986.05011758016906</v>
      </c>
      <c r="N18" s="49">
        <f>QDK!N18</f>
        <v>1001.5359353221106</v>
      </c>
      <c r="O18" s="49">
        <f>QDK!O18</f>
        <v>1019.8172003951441</v>
      </c>
      <c r="P18" s="49">
        <f>QDK!P18</f>
        <v>1033.2780031771067</v>
      </c>
      <c r="Q18" s="49">
        <f>QDK!Q18</f>
        <v>1047.3219420474807</v>
      </c>
      <c r="R18" s="49">
        <f>QDK!R18</f>
        <v>1084.4847415249133</v>
      </c>
      <c r="S18" s="49">
        <f>QDK!S18</f>
        <v>1101.5342917789808</v>
      </c>
      <c r="T18" s="49">
        <f>QDK!T18</f>
        <v>1121.95822773891</v>
      </c>
      <c r="U18" s="49">
        <f>QDK!U18</f>
        <v>1137.9216847013745</v>
      </c>
      <c r="V18" s="49">
        <f>QDK!V18</f>
        <v>1154.565801921568</v>
      </c>
      <c r="W18" s="49">
        <f>QDK!W18</f>
        <v>1171.1086484229825</v>
      </c>
      <c r="X18" s="49">
        <f>QDK!X18</f>
        <v>1186.1296841306043</v>
      </c>
      <c r="Y18" s="49">
        <f>QDK!Y18</f>
        <v>1208.2154799665514</v>
      </c>
      <c r="Z18" s="49">
        <f>QDK!Z18</f>
        <v>1225.1143614668986</v>
      </c>
      <c r="AA18" s="49">
        <f>QDK!AA18</f>
        <v>1242.9716362817953</v>
      </c>
      <c r="AB18" s="49">
        <f>QDK!AB18</f>
        <v>1284.2717199999995</v>
      </c>
      <c r="AC18" s="49">
        <f>QDK!AC18</f>
        <v>1301.1084112932538</v>
      </c>
      <c r="AD18" s="49">
        <f>QDK!AD18</f>
        <v>1319.71243838908</v>
      </c>
      <c r="AE18" s="49">
        <f>QDK!AE18</f>
        <v>1333.2013257440817</v>
      </c>
      <c r="AF18" s="49">
        <f>QDK!AF18</f>
        <v>1348.5551039311451</v>
      </c>
      <c r="AG18" s="49">
        <f>QDK!AG18</f>
        <v>1368.3792121635672</v>
      </c>
      <c r="AH18" s="49">
        <f>QDK!AH18</f>
        <v>1384.8390741992059</v>
      </c>
      <c r="AI18" s="49">
        <f>QDK!AI18</f>
        <v>1409.3861456392517</v>
      </c>
      <c r="AJ18" s="49">
        <f>QDK!AJ18</f>
        <v>1428.4232745670618</v>
      </c>
      <c r="AK18" s="49">
        <f>QDK!AK18</f>
        <v>1443.9369527639187</v>
      </c>
      <c r="AL18" s="49">
        <f>QDK!AL18</f>
        <v>1466.5008420210522</v>
      </c>
    </row>
    <row r="19" spans="2:38" ht="18" customHeight="1">
      <c r="B19" s="48" t="s">
        <v>119</v>
      </c>
      <c r="C19" s="52">
        <f t="shared" si="0"/>
        <v>31457.211819628668</v>
      </c>
      <c r="D19" s="49">
        <f>QDK!D19</f>
        <v>0</v>
      </c>
      <c r="E19" s="49">
        <f>QDK!E19</f>
        <v>0</v>
      </c>
      <c r="F19" s="49">
        <f>QDK!F19</f>
        <v>0</v>
      </c>
      <c r="G19" s="49">
        <f>QDK!G19</f>
        <v>177.2835071616953</v>
      </c>
      <c r="H19" s="49">
        <f>QDK!H19</f>
        <v>34.353098634574515</v>
      </c>
      <c r="I19" s="49">
        <f>QDK!I19</f>
        <v>120.20703301452086</v>
      </c>
      <c r="J19" s="49">
        <f>QDK!J19</f>
        <v>652.98667391136951</v>
      </c>
      <c r="K19" s="49">
        <f>QDK!K19</f>
        <v>1003.0068002534191</v>
      </c>
      <c r="L19" s="49">
        <f>QDK!L19</f>
        <v>1192.0338393047221</v>
      </c>
      <c r="M19" s="49">
        <f>QDK!M19</f>
        <v>1047.1305512858844</v>
      </c>
      <c r="N19" s="49">
        <f>QDK!N19</f>
        <v>807.3888863214562</v>
      </c>
      <c r="O19" s="49">
        <f>QDK!O19</f>
        <v>587.27278727656676</v>
      </c>
      <c r="P19" s="49">
        <f>QDK!P19</f>
        <v>805.42256776777288</v>
      </c>
      <c r="Q19" s="49">
        <f>QDK!Q19</f>
        <v>1137.733003395304</v>
      </c>
      <c r="R19" s="49">
        <f>QDK!R19</f>
        <v>1137.733003395304</v>
      </c>
      <c r="S19" s="49">
        <f>QDK!S19</f>
        <v>1137.733003395304</v>
      </c>
      <c r="T19" s="49">
        <f>QDK!T19</f>
        <v>1137.733003395304</v>
      </c>
      <c r="U19" s="49">
        <f>QDK!U19</f>
        <v>1137.733003395304</v>
      </c>
      <c r="V19" s="49">
        <f>QDK!V19</f>
        <v>1137.733003395304</v>
      </c>
      <c r="W19" s="49">
        <f>QDK!W19</f>
        <v>1137.733003395304</v>
      </c>
      <c r="X19" s="49">
        <f>QDK!X19</f>
        <v>1137.733003395304</v>
      </c>
      <c r="Y19" s="49">
        <f>QDK!Y19</f>
        <v>1137.733003395304</v>
      </c>
      <c r="Z19" s="49">
        <f>QDK!Z19</f>
        <v>1137.733003395304</v>
      </c>
      <c r="AA19" s="49">
        <f>QDK!AA19</f>
        <v>1137.733003395304</v>
      </c>
      <c r="AB19" s="49">
        <f>QDK!AB19</f>
        <v>1137.733003395304</v>
      </c>
      <c r="AC19" s="49">
        <f>QDK!AC19</f>
        <v>1137.733003395304</v>
      </c>
      <c r="AD19" s="49">
        <f>QDK!AD19</f>
        <v>1137.733003395304</v>
      </c>
      <c r="AE19" s="49">
        <f>QDK!AE19</f>
        <v>1137.733003395304</v>
      </c>
      <c r="AF19" s="49">
        <f>QDK!AF19</f>
        <v>1137.733003395304</v>
      </c>
      <c r="AG19" s="49">
        <f>QDK!AG19</f>
        <v>1137.733003395304</v>
      </c>
      <c r="AH19" s="49">
        <f>QDK!AH19</f>
        <v>1137.733003395304</v>
      </c>
      <c r="AI19" s="49">
        <f>QDK!AI19</f>
        <v>1137.733003395304</v>
      </c>
      <c r="AJ19" s="49">
        <f>QDK!AJ19</f>
        <v>1137.733003395304</v>
      </c>
      <c r="AK19" s="49">
        <f>QDK!AK19</f>
        <v>1137.733003395304</v>
      </c>
      <c r="AL19" s="49">
        <f>QDK!AL19</f>
        <v>1137.733003395304</v>
      </c>
    </row>
    <row r="20" spans="2:38" ht="18" customHeight="1">
      <c r="B20" s="48" t="s">
        <v>371</v>
      </c>
      <c r="C20" s="52">
        <f t="shared" si="0"/>
        <v>0</v>
      </c>
      <c r="D20" s="49">
        <f>QDK!D20</f>
        <v>0</v>
      </c>
      <c r="E20" s="49">
        <f>QDK!E20</f>
        <v>0</v>
      </c>
      <c r="F20" s="49">
        <f>QDK!F20</f>
        <v>0</v>
      </c>
      <c r="G20" s="49">
        <f>QDK!G20</f>
        <v>0</v>
      </c>
      <c r="H20" s="49">
        <f>QDK!H20</f>
        <v>0</v>
      </c>
      <c r="I20" s="49">
        <f>QDK!I20</f>
        <v>0</v>
      </c>
      <c r="J20" s="49">
        <f>QDK!J20</f>
        <v>0</v>
      </c>
      <c r="K20" s="49">
        <f>QDK!K20</f>
        <v>0</v>
      </c>
      <c r="L20" s="49">
        <f>QDK!L20</f>
        <v>0</v>
      </c>
      <c r="M20" s="49">
        <f>QDK!M20</f>
        <v>0</v>
      </c>
      <c r="N20" s="49">
        <f>QDK!N20</f>
        <v>0</v>
      </c>
      <c r="O20" s="49">
        <f>QDK!O20</f>
        <v>0</v>
      </c>
      <c r="P20" s="49">
        <f>QDK!P20</f>
        <v>0</v>
      </c>
      <c r="Q20" s="49">
        <f>QDK!Q20</f>
        <v>0</v>
      </c>
      <c r="R20" s="49">
        <f>QDK!R20</f>
        <v>0</v>
      </c>
      <c r="S20" s="49">
        <f>QDK!S20</f>
        <v>0</v>
      </c>
      <c r="T20" s="49">
        <f>QDK!T20</f>
        <v>0</v>
      </c>
      <c r="U20" s="49">
        <f>QDK!U20</f>
        <v>0</v>
      </c>
      <c r="V20" s="49">
        <f>QDK!V20</f>
        <v>0</v>
      </c>
      <c r="W20" s="49">
        <f>QDK!W20</f>
        <v>0</v>
      </c>
      <c r="X20" s="49">
        <f>QDK!X20</f>
        <v>0</v>
      </c>
      <c r="Y20" s="49">
        <f>QDK!Y20</f>
        <v>0</v>
      </c>
      <c r="Z20" s="49">
        <f>QDK!Z20</f>
        <v>0</v>
      </c>
      <c r="AA20" s="49">
        <f>QDK!AA20</f>
        <v>0</v>
      </c>
      <c r="AB20" s="49">
        <f>QDK!AB20</f>
        <v>0</v>
      </c>
      <c r="AC20" s="49">
        <f>QDK!AC20</f>
        <v>0</v>
      </c>
      <c r="AD20" s="49">
        <f>QDK!AD20</f>
        <v>0</v>
      </c>
      <c r="AE20" s="49">
        <f>QDK!AE20</f>
        <v>0</v>
      </c>
      <c r="AF20" s="49">
        <f>QDK!AF20</f>
        <v>0</v>
      </c>
      <c r="AG20" s="49">
        <f>QDK!AG20</f>
        <v>0</v>
      </c>
      <c r="AH20" s="49">
        <f>QDK!AH20</f>
        <v>0</v>
      </c>
      <c r="AI20" s="49">
        <f>QDK!AI20</f>
        <v>0</v>
      </c>
      <c r="AJ20" s="49">
        <f>QDK!AJ20</f>
        <v>0</v>
      </c>
      <c r="AK20" s="49">
        <f>QDK!AK20</f>
        <v>0</v>
      </c>
      <c r="AL20" s="49">
        <f>QDK!AL20</f>
        <v>0</v>
      </c>
    </row>
    <row r="21" spans="2:38" ht="18" customHeight="1">
      <c r="B21" s="48" t="s">
        <v>120</v>
      </c>
      <c r="C21" s="52">
        <f t="shared" si="0"/>
        <v>340254.76514051511</v>
      </c>
      <c r="D21" s="49">
        <f>QDK!D7</f>
        <v>0</v>
      </c>
      <c r="E21" s="49">
        <f>QDK!E7</f>
        <v>0</v>
      </c>
      <c r="F21" s="49">
        <f>QDK!F7</f>
        <v>3613.3677381696189</v>
      </c>
      <c r="G21" s="49">
        <f>QDK!G7</f>
        <v>4691.9493131757154</v>
      </c>
      <c r="H21" s="49">
        <f>QDK!H7</f>
        <v>5284.7441780693434</v>
      </c>
      <c r="I21" s="49">
        <f>QDK!I7</f>
        <v>5598.4587217629642</v>
      </c>
      <c r="J21" s="49">
        <f>QDK!J7</f>
        <v>5760.1564348156326</v>
      </c>
      <c r="K21" s="49">
        <f>QDK!K7</f>
        <v>6077.6683818444535</v>
      </c>
      <c r="L21" s="49">
        <f>QDK!L7</f>
        <v>6434.0487775058127</v>
      </c>
      <c r="M21" s="49">
        <f>QDK!M7</f>
        <v>6791.874174725559</v>
      </c>
      <c r="N21" s="49">
        <f>QDK!N7</f>
        <v>7146.9826786114027</v>
      </c>
      <c r="O21" s="49">
        <f>QDK!O7</f>
        <v>7515.2191669943877</v>
      </c>
      <c r="P21" s="49">
        <f>QDK!P7</f>
        <v>7899.0757689109359</v>
      </c>
      <c r="Q21" s="49">
        <f>QDK!Q7</f>
        <v>8290.5505833498773</v>
      </c>
      <c r="R21" s="49">
        <f>QDK!R7</f>
        <v>8359.8358302280722</v>
      </c>
      <c r="S21" s="49">
        <f>QDK!S7</f>
        <v>8751.9674424277237</v>
      </c>
      <c r="T21" s="49">
        <f>QDK!T7</f>
        <v>9150.7341687503031</v>
      </c>
      <c r="U21" s="49">
        <f>QDK!U7</f>
        <v>9555.958559188939</v>
      </c>
      <c r="V21" s="49">
        <f>QDK!V7</f>
        <v>9967.6013654170692</v>
      </c>
      <c r="W21" s="49">
        <f>QDK!W7</f>
        <v>10391.790380597475</v>
      </c>
      <c r="X21" s="49">
        <f>QDK!X7</f>
        <v>10834.203163007885</v>
      </c>
      <c r="Y21" s="49">
        <f>QDK!Y7</f>
        <v>11280.126722040945</v>
      </c>
      <c r="Z21" s="49">
        <f>QDK!Z7</f>
        <v>11728.841403008208</v>
      </c>
      <c r="AA21" s="49">
        <f>QDK!AA7</f>
        <v>12179.505518869588</v>
      </c>
      <c r="AB21" s="49">
        <f>QDK!AB7</f>
        <v>12631.200206938731</v>
      </c>
      <c r="AC21" s="49">
        <f>QDK!AC7</f>
        <v>13082.863049207645</v>
      </c>
      <c r="AD21" s="49">
        <f>QDK!AD7</f>
        <v>13533.259985988578</v>
      </c>
      <c r="AE21" s="49">
        <f>QDK!AE7</f>
        <v>13981.040474561334</v>
      </c>
      <c r="AF21" s="49">
        <f>QDK!AF7</f>
        <v>14424.632021086345</v>
      </c>
      <c r="AG21" s="49">
        <f>QDK!AG7</f>
        <v>14862.390136363918</v>
      </c>
      <c r="AH21" s="49">
        <f>QDK!AH7</f>
        <v>15292.631956098638</v>
      </c>
      <c r="AI21" s="49">
        <f>QDK!AI7</f>
        <v>15713.585338518629</v>
      </c>
      <c r="AJ21" s="49">
        <f>QDK!AJ7</f>
        <v>16123.592000184453</v>
      </c>
      <c r="AK21" s="49">
        <f>QDK!AK7</f>
        <v>16521.595481825738</v>
      </c>
      <c r="AL21" s="49">
        <f>QDK!AL7</f>
        <v>16783.314018269255</v>
      </c>
    </row>
    <row r="22" spans="2:38" ht="18" customHeight="1">
      <c r="B22" s="48" t="s">
        <v>121</v>
      </c>
      <c r="C22" s="52">
        <f t="shared" si="0"/>
        <v>693344.63902031421</v>
      </c>
      <c r="D22" s="49">
        <f>-QDK!D44*IF(QDL!D$31="Sim",(1-QDL!$C$31),1)-QDK!D45</f>
        <v>0</v>
      </c>
      <c r="E22" s="49">
        <f>-QDK!E44*IF(QDL!E$31="Sim",(1-QDL!$C$31),1)-QDK!E45</f>
        <v>0</v>
      </c>
      <c r="F22" s="49">
        <f>-QDK!F44*IF(QDL!F$31="Sim",(1-QDL!$C$31),1)-QDK!F45</f>
        <v>0</v>
      </c>
      <c r="G22" s="49">
        <f>-QDK!G44*IF(QDL!G$31="Sim",(1-QDL!$C$31),1)-QDK!G45</f>
        <v>980.51764516102946</v>
      </c>
      <c r="H22" s="49">
        <f>-QDK!H44*IF(QDL!H$31="Sim",(1-QDL!$C$31),1)-QDK!H45</f>
        <v>1578.6065115889301</v>
      </c>
      <c r="I22" s="49">
        <f>-QDK!I44*IF(QDL!I$31="Sim",(1-QDL!$C$31),1)-QDK!I45</f>
        <v>2044.5576067995071</v>
      </c>
      <c r="J22" s="49">
        <f>-QDK!J44*IF(QDL!J$31="Sim",(1-QDL!$C$31),1)-QDK!J45</f>
        <v>2360.134216002079</v>
      </c>
      <c r="K22" s="49">
        <f>-QDK!K44*IF(QDL!K$31="Sim",(1-QDL!$C$31),1)-QDK!K45</f>
        <v>2782.1519239573668</v>
      </c>
      <c r="L22" s="49">
        <f>-QDK!L44*IF(QDL!L$31="Sim",(1-QDL!$C$31),1)-QDK!L45</f>
        <v>3169.0237815626606</v>
      </c>
      <c r="M22" s="49">
        <f>-QDK!M44*IF(QDL!M$31="Sim",(1-QDL!$C$31),1)-QDK!M45</f>
        <v>3640.4321852257863</v>
      </c>
      <c r="N22" s="49">
        <f>-QDK!N44*IF(QDL!N$31="Sim",(1-QDL!$C$31),1)-QDK!N45</f>
        <v>5818.3237093379157</v>
      </c>
      <c r="O22" s="49">
        <f>-QDK!O44*IF(QDL!O$31="Sim",(1-QDL!$C$31),1)-QDK!O45</f>
        <v>14310.372487273051</v>
      </c>
      <c r="P22" s="49">
        <f>-QDK!P44*IF(QDL!P$31="Sim",(1-QDL!$C$31),1)-QDK!P45</f>
        <v>15693.289246690932</v>
      </c>
      <c r="Q22" s="49">
        <f>-QDK!Q44*IF(QDL!Q$31="Sim",(1-QDL!$C$31),1)-QDK!Q45</f>
        <v>16696.518706463114</v>
      </c>
      <c r="R22" s="49">
        <f>-QDK!R44*IF(QDL!R$31="Sim",(1-QDL!$C$31),1)-QDK!R45</f>
        <v>16436.819794487848</v>
      </c>
      <c r="S22" s="49">
        <f>-QDK!S44*IF(QDL!S$31="Sim",(1-QDL!$C$31),1)-QDK!S45</f>
        <v>17724.964707214116</v>
      </c>
      <c r="T22" s="49">
        <f>-QDK!T44*IF(QDL!T$31="Sim",(1-QDL!$C$31),1)-QDK!T45</f>
        <v>18983.96299777288</v>
      </c>
      <c r="U22" s="49">
        <f>-QDK!U44*IF(QDL!U$31="Sim",(1-QDL!$C$31),1)-QDK!U45</f>
        <v>20124.560370299816</v>
      </c>
      <c r="V22" s="49">
        <f>-QDK!V44*IF(QDL!V$31="Sim",(1-QDL!$C$31),1)-QDK!V45</f>
        <v>21847.461587852558</v>
      </c>
      <c r="W22" s="49">
        <f>-QDK!W44*IF(QDL!W$31="Sim",(1-QDL!$C$31),1)-QDK!W45</f>
        <v>23589.40743848322</v>
      </c>
      <c r="X22" s="49">
        <f>-QDK!X44*IF(QDL!X$31="Sim",(1-QDL!$C$31),1)-QDK!X45</f>
        <v>24658.687425949414</v>
      </c>
      <c r="Y22" s="49">
        <f>-QDK!Y44*IF(QDL!Y$31="Sim",(1-QDL!$C$31),1)-QDK!Y45</f>
        <v>26086.042279655532</v>
      </c>
      <c r="Z22" s="49">
        <f>-QDK!Z44*IF(QDL!Z$31="Sim",(1-QDL!$C$31),1)-QDK!Z45</f>
        <v>27553.140403487592</v>
      </c>
      <c r="AA22" s="49">
        <f>-QDK!AA44*IF(QDL!AA$31="Sim",(1-QDL!$C$31),1)-QDK!AA45</f>
        <v>28611.608802422459</v>
      </c>
      <c r="AB22" s="49">
        <f>-QDK!AB44*IF(QDL!AB$31="Sim",(1-QDL!$C$31),1)-QDK!AB45</f>
        <v>29629.734920159255</v>
      </c>
      <c r="AC22" s="49">
        <f>-QDK!AC44*IF(QDL!AC$31="Sim",(1-QDL!$C$31),1)-QDK!AC45</f>
        <v>31173.616402638068</v>
      </c>
      <c r="AD22" s="49">
        <f>-QDK!AD44*IF(QDL!AD$31="Sim",(1-QDL!$C$31),1)-QDK!AD45</f>
        <v>32738.345104435415</v>
      </c>
      <c r="AE22" s="49">
        <f>-QDK!AE44*IF(QDL!AE$31="Sim",(1-QDL!$C$31),1)-QDK!AE45</f>
        <v>34217.53910756635</v>
      </c>
      <c r="AF22" s="49">
        <f>-QDK!AF44*IF(QDL!AF$31="Sim",(1-QDL!$C$31),1)-QDK!AF45</f>
        <v>36016.646251046404</v>
      </c>
      <c r="AG22" s="49">
        <f>-QDK!AG44*IF(QDL!AG$31="Sim",(1-QDL!$C$31),1)-QDK!AG45</f>
        <v>37809.461074099338</v>
      </c>
      <c r="AH22" s="49">
        <f>-QDK!AH44*IF(QDL!AH$31="Sim",(1-QDL!$C$31),1)-QDK!AH45</f>
        <v>37695.351181567123</v>
      </c>
      <c r="AI22" s="49">
        <f>-QDK!AI44*IF(QDL!AI$31="Sim",(1-QDL!$C$31),1)-QDK!AI45</f>
        <v>38916.833952578207</v>
      </c>
      <c r="AJ22" s="49">
        <f>-QDK!AJ44*IF(QDL!AJ$31="Sim",(1-QDL!$C$31),1)-QDK!AJ45</f>
        <v>40299.093963911873</v>
      </c>
      <c r="AK22" s="49">
        <f>-QDK!AK44*IF(QDL!AK$31="Sim",(1-QDL!$C$31),1)-QDK!AK45</f>
        <v>41096.373141872144</v>
      </c>
      <c r="AL22" s="49">
        <f>-QDK!AL44*IF(QDL!AL$31="Sim",(1-QDL!$C$31),1)-QDK!AL45</f>
        <v>39061.060092752261</v>
      </c>
    </row>
    <row r="23" spans="2:38" ht="18" customHeight="1">
      <c r="B23" s="155" t="s">
        <v>103</v>
      </c>
      <c r="C23" s="54">
        <f t="shared" si="0"/>
        <v>317088.64660129946</v>
      </c>
      <c r="D23" s="54">
        <f t="shared" ref="D23:AG23" si="6">SUM(D24:D27)</f>
        <v>83774.954416808643</v>
      </c>
      <c r="E23" s="54">
        <f t="shared" si="6"/>
        <v>133259.29477541571</v>
      </c>
      <c r="F23" s="54">
        <f t="shared" si="6"/>
        <v>1646.7005958226571</v>
      </c>
      <c r="G23" s="54">
        <f t="shared" si="6"/>
        <v>367.66711972500002</v>
      </c>
      <c r="H23" s="54">
        <f t="shared" si="6"/>
        <v>140.34109760000001</v>
      </c>
      <c r="I23" s="54">
        <f t="shared" si="6"/>
        <v>514.96414800000002</v>
      </c>
      <c r="J23" s="54">
        <f t="shared" si="6"/>
        <v>797.30138431250009</v>
      </c>
      <c r="K23" s="54">
        <f t="shared" si="6"/>
        <v>317.53280000000007</v>
      </c>
      <c r="L23" s="54">
        <f t="shared" si="6"/>
        <v>1332.8662550449219</v>
      </c>
      <c r="M23" s="54">
        <f t="shared" si="6"/>
        <v>499.69838906250004</v>
      </c>
      <c r="N23" s="54">
        <f t="shared" si="6"/>
        <v>2838.3173468749997</v>
      </c>
      <c r="O23" s="54">
        <f t="shared" si="6"/>
        <v>0</v>
      </c>
      <c r="P23" s="54">
        <f t="shared" si="6"/>
        <v>645.35598906250004</v>
      </c>
      <c r="Q23" s="54">
        <f t="shared" si="6"/>
        <v>11741.873168716796</v>
      </c>
      <c r="R23" s="54">
        <f t="shared" si="6"/>
        <v>3740.6362225121998</v>
      </c>
      <c r="S23" s="54">
        <f t="shared" si="6"/>
        <v>1621.5813890625</v>
      </c>
      <c r="T23" s="54">
        <f t="shared" si="6"/>
        <v>10034.2228983758</v>
      </c>
      <c r="U23" s="54">
        <f t="shared" si="6"/>
        <v>0</v>
      </c>
      <c r="V23" s="54">
        <f t="shared" si="6"/>
        <v>1832.5646441074221</v>
      </c>
      <c r="W23" s="54">
        <f t="shared" si="6"/>
        <v>0</v>
      </c>
      <c r="X23" s="54">
        <f t="shared" si="6"/>
        <v>3121.7653468749995</v>
      </c>
      <c r="Y23" s="54">
        <f t="shared" si="6"/>
        <v>817.23118906249999</v>
      </c>
      <c r="Z23" s="54">
        <f t="shared" si="6"/>
        <v>145.6576</v>
      </c>
      <c r="AA23" s="54">
        <f t="shared" si="6"/>
        <v>13782.637956802737</v>
      </c>
      <c r="AB23" s="54">
        <f t="shared" si="6"/>
        <v>645.35598906250004</v>
      </c>
      <c r="AC23" s="54">
        <f t="shared" si="6"/>
        <v>808.75799999999992</v>
      </c>
      <c r="AD23" s="54">
        <f t="shared" si="6"/>
        <v>461.06060000000002</v>
      </c>
      <c r="AE23" s="54">
        <f t="shared" si="6"/>
        <v>499.69838906250004</v>
      </c>
      <c r="AF23" s="54">
        <f t="shared" si="6"/>
        <v>2835.891336294922</v>
      </c>
      <c r="AG23" s="54">
        <f t="shared" si="6"/>
        <v>21535.3835</v>
      </c>
      <c r="AH23" s="54">
        <f>SUM(AH24:AH27)</f>
        <v>4782.7243240234402</v>
      </c>
      <c r="AI23" s="54">
        <f>SUM(AI24:AI27)</f>
        <v>0</v>
      </c>
      <c r="AJ23" s="54">
        <f>SUM(AJ24:AJ27)</f>
        <v>145.6576</v>
      </c>
      <c r="AK23" s="54">
        <f>SUM(AK24:AK27)</f>
        <v>5570.8146331117196</v>
      </c>
      <c r="AL23" s="54">
        <f>SUM(AL24:AL27)</f>
        <v>6830.1374964999995</v>
      </c>
    </row>
    <row r="24" spans="2:38" ht="18" customHeight="1">
      <c r="B24" s="48" t="s">
        <v>275</v>
      </c>
      <c r="C24" s="52">
        <f t="shared" si="0"/>
        <v>180737.0674125122</v>
      </c>
      <c r="D24" s="49">
        <f>QDF!E4</f>
        <v>56648.618090000004</v>
      </c>
      <c r="E24" s="49">
        <f>QDF!F4</f>
        <v>94686.893199999991</v>
      </c>
      <c r="F24" s="49">
        <f>QDF!G4</f>
        <v>0</v>
      </c>
      <c r="G24" s="49">
        <f>QDF!H4</f>
        <v>0</v>
      </c>
      <c r="H24" s="49">
        <f>QDF!I4</f>
        <v>0</v>
      </c>
      <c r="I24" s="49">
        <f>QDF!J4</f>
        <v>0</v>
      </c>
      <c r="J24" s="49">
        <f>QDF!K4</f>
        <v>0</v>
      </c>
      <c r="K24" s="49">
        <f>QDF!L4</f>
        <v>0</v>
      </c>
      <c r="L24" s="49">
        <f>QDF!M4</f>
        <v>0</v>
      </c>
      <c r="M24" s="49">
        <f>QDF!N4</f>
        <v>0</v>
      </c>
      <c r="N24" s="49">
        <f>QDF!O4</f>
        <v>0</v>
      </c>
      <c r="O24" s="49">
        <f>QDF!P4</f>
        <v>0</v>
      </c>
      <c r="P24" s="49">
        <f>QDF!Q4</f>
        <v>0</v>
      </c>
      <c r="Q24" s="49">
        <f>QDF!R4</f>
        <v>0</v>
      </c>
      <c r="R24" s="49">
        <f>QDF!S4</f>
        <v>2415.4458225121998</v>
      </c>
      <c r="S24" s="49">
        <f>QDF!T4</f>
        <v>0</v>
      </c>
      <c r="T24" s="49">
        <f>QDF!U4</f>
        <v>0</v>
      </c>
      <c r="U24" s="49">
        <f>QDF!V4</f>
        <v>0</v>
      </c>
      <c r="V24" s="49">
        <f>QDF!W4</f>
        <v>0</v>
      </c>
      <c r="W24" s="49">
        <f>QDF!X4</f>
        <v>0</v>
      </c>
      <c r="X24" s="49">
        <f>QDF!Y4</f>
        <v>0</v>
      </c>
      <c r="Y24" s="49">
        <f>QDF!Z4</f>
        <v>0</v>
      </c>
      <c r="Z24" s="49">
        <f>QDF!AA4</f>
        <v>0</v>
      </c>
      <c r="AA24" s="49">
        <f>QDF!AB4</f>
        <v>0</v>
      </c>
      <c r="AB24" s="49">
        <f>QDF!AC4</f>
        <v>0</v>
      </c>
      <c r="AC24" s="49">
        <f>QDF!AD4</f>
        <v>0</v>
      </c>
      <c r="AD24" s="49">
        <f>QDF!AE4</f>
        <v>0</v>
      </c>
      <c r="AE24" s="49">
        <f>QDF!AF4</f>
        <v>0</v>
      </c>
      <c r="AF24" s="49">
        <f>QDF!AG4</f>
        <v>0</v>
      </c>
      <c r="AG24" s="49">
        <f>QDF!AH4</f>
        <v>20889.754300000001</v>
      </c>
      <c r="AH24" s="49">
        <f>QDF!AI4</f>
        <v>0</v>
      </c>
      <c r="AI24" s="49">
        <f>QDF!AJ4</f>
        <v>0</v>
      </c>
      <c r="AJ24" s="49">
        <f>QDF!AK4</f>
        <v>0</v>
      </c>
      <c r="AK24" s="49">
        <f>QDF!AL4</f>
        <v>0</v>
      </c>
      <c r="AL24" s="49">
        <f>QDF!AM4</f>
        <v>6096.3559999999998</v>
      </c>
    </row>
    <row r="25" spans="2:38" ht="18" customHeight="1">
      <c r="B25" s="48" t="s">
        <v>122</v>
      </c>
      <c r="C25" s="52">
        <f t="shared" si="0"/>
        <v>54024.366450973161</v>
      </c>
      <c r="D25" s="49">
        <f>QDF!E5</f>
        <v>15543.557814472375</v>
      </c>
      <c r="E25" s="49">
        <f>QDF!F5</f>
        <v>30346.888711445787</v>
      </c>
      <c r="F25" s="49">
        <f>QDF!G5</f>
        <v>0</v>
      </c>
      <c r="G25" s="49">
        <f>QDF!H5</f>
        <v>0</v>
      </c>
      <c r="H25" s="49">
        <f>QDF!I5</f>
        <v>0</v>
      </c>
      <c r="I25" s="49">
        <f>QDF!J5</f>
        <v>0</v>
      </c>
      <c r="J25" s="49">
        <f>QDF!K5</f>
        <v>0</v>
      </c>
      <c r="K25" s="49">
        <f>QDF!L5</f>
        <v>0</v>
      </c>
      <c r="L25" s="49">
        <f>QDF!M5</f>
        <v>0</v>
      </c>
      <c r="M25" s="49">
        <f>QDF!N5</f>
        <v>0</v>
      </c>
      <c r="N25" s="49">
        <f>QDF!O5</f>
        <v>0</v>
      </c>
      <c r="O25" s="49">
        <f>QDF!P5</f>
        <v>0</v>
      </c>
      <c r="P25" s="49">
        <f>QDF!Q5</f>
        <v>0</v>
      </c>
      <c r="Q25" s="49">
        <f>QDF!R5</f>
        <v>0</v>
      </c>
      <c r="R25" s="49">
        <f>QDF!S5</f>
        <v>0</v>
      </c>
      <c r="S25" s="49">
        <f>QDF!T5</f>
        <v>0</v>
      </c>
      <c r="T25" s="49">
        <f>QDF!U5</f>
        <v>8133.919925055</v>
      </c>
      <c r="U25" s="49">
        <f>QDF!V5</f>
        <v>0</v>
      </c>
      <c r="V25" s="49">
        <f>QDF!W5</f>
        <v>0</v>
      </c>
      <c r="W25" s="49">
        <f>QDF!X5</f>
        <v>0</v>
      </c>
      <c r="X25" s="49">
        <f>QDF!Y5</f>
        <v>0</v>
      </c>
      <c r="Y25" s="49">
        <f>QDF!Z5</f>
        <v>0</v>
      </c>
      <c r="Z25" s="49">
        <f>QDF!AA5</f>
        <v>0</v>
      </c>
      <c r="AA25" s="49">
        <f>QDF!AB5</f>
        <v>0</v>
      </c>
      <c r="AB25" s="49">
        <f>QDF!AC5</f>
        <v>0</v>
      </c>
      <c r="AC25" s="49">
        <f>QDF!AD5</f>
        <v>0</v>
      </c>
      <c r="AD25" s="49">
        <f>QDF!AE5</f>
        <v>0</v>
      </c>
      <c r="AE25" s="49">
        <f>QDF!AF5</f>
        <v>0</v>
      </c>
      <c r="AF25" s="49">
        <f>QDF!AG5</f>
        <v>0</v>
      </c>
      <c r="AG25" s="49">
        <f>QDF!AH5</f>
        <v>0</v>
      </c>
      <c r="AH25" s="49">
        <f>QDF!AI5</f>
        <v>0</v>
      </c>
      <c r="AI25" s="49">
        <f>QDF!AJ5</f>
        <v>0</v>
      </c>
      <c r="AJ25" s="49">
        <f>QDF!AK5</f>
        <v>0</v>
      </c>
      <c r="AK25" s="49">
        <f>QDF!AL5</f>
        <v>0</v>
      </c>
      <c r="AL25" s="49">
        <f>QDF!AM5</f>
        <v>0</v>
      </c>
    </row>
    <row r="26" spans="2:38" ht="18" customHeight="1">
      <c r="B26" s="32" t="s">
        <v>276</v>
      </c>
      <c r="C26" s="52">
        <f t="shared" ref="C26:C31" si="7">SUM(D26:AL26)</f>
        <v>4489.951709317631</v>
      </c>
      <c r="D26" s="49">
        <f>QDF!E6</f>
        <v>1663.1828678282948</v>
      </c>
      <c r="E26" s="49">
        <f>QDF!F6</f>
        <v>2826.768841489336</v>
      </c>
      <c r="F26" s="49">
        <f>QDF!G6</f>
        <v>0</v>
      </c>
      <c r="G26" s="49">
        <f>QDF!H6</f>
        <v>0</v>
      </c>
      <c r="H26" s="49">
        <f>QDF!I6</f>
        <v>0</v>
      </c>
      <c r="I26" s="49">
        <f>QDF!J6</f>
        <v>0</v>
      </c>
      <c r="J26" s="49">
        <f>QDF!K6</f>
        <v>0</v>
      </c>
      <c r="K26" s="49">
        <f>QDF!L6</f>
        <v>0</v>
      </c>
      <c r="L26" s="49">
        <f>QDF!M6</f>
        <v>0</v>
      </c>
      <c r="M26" s="49">
        <f>QDF!N6</f>
        <v>0</v>
      </c>
      <c r="N26" s="49">
        <f>QDF!O6</f>
        <v>0</v>
      </c>
      <c r="O26" s="49">
        <f>QDF!P6</f>
        <v>0</v>
      </c>
      <c r="P26" s="49">
        <f>QDF!Q6</f>
        <v>0</v>
      </c>
      <c r="Q26" s="49">
        <f>QDF!R6</f>
        <v>0</v>
      </c>
      <c r="R26" s="49">
        <f>QDF!S6</f>
        <v>0</v>
      </c>
      <c r="S26" s="49">
        <f>QDF!T6</f>
        <v>0</v>
      </c>
      <c r="T26" s="49">
        <f>QDF!U6</f>
        <v>0</v>
      </c>
      <c r="U26" s="49">
        <f>QDF!V6</f>
        <v>0</v>
      </c>
      <c r="V26" s="49">
        <f>QDF!W6</f>
        <v>0</v>
      </c>
      <c r="W26" s="49">
        <f>QDF!X6</f>
        <v>0</v>
      </c>
      <c r="X26" s="49">
        <f>QDF!Y6</f>
        <v>0</v>
      </c>
      <c r="Y26" s="49">
        <f>QDF!Z6</f>
        <v>0</v>
      </c>
      <c r="Z26" s="49">
        <f>QDF!AA6</f>
        <v>0</v>
      </c>
      <c r="AA26" s="49">
        <f>QDF!AB6</f>
        <v>0</v>
      </c>
      <c r="AB26" s="49">
        <f>QDF!AC6</f>
        <v>0</v>
      </c>
      <c r="AC26" s="49">
        <f>QDF!AD6</f>
        <v>0</v>
      </c>
      <c r="AD26" s="49">
        <f>QDF!AE6</f>
        <v>0</v>
      </c>
      <c r="AE26" s="49">
        <f>QDF!AF6</f>
        <v>0</v>
      </c>
      <c r="AF26" s="49">
        <f>QDF!AG6</f>
        <v>0</v>
      </c>
      <c r="AG26" s="49">
        <f>QDF!AH6</f>
        <v>0</v>
      </c>
      <c r="AH26" s="49">
        <f>QDF!AI6</f>
        <v>0</v>
      </c>
      <c r="AI26" s="49">
        <f>QDF!AJ6</f>
        <v>0</v>
      </c>
      <c r="AJ26" s="49">
        <f>QDF!AK6</f>
        <v>0</v>
      </c>
      <c r="AK26" s="49">
        <f>QDF!AL6</f>
        <v>0</v>
      </c>
      <c r="AL26" s="49">
        <f>QDF!AM6</f>
        <v>0</v>
      </c>
    </row>
    <row r="27" spans="2:38" ht="18" customHeight="1">
      <c r="B27" s="32" t="s">
        <v>195</v>
      </c>
      <c r="C27" s="52">
        <f t="shared" si="7"/>
        <v>77837.26102849649</v>
      </c>
      <c r="D27" s="49">
        <f>QDF!E7</f>
        <v>9919.5956445079792</v>
      </c>
      <c r="E27" s="49">
        <f>QDF!F7</f>
        <v>5398.7440224806041</v>
      </c>
      <c r="F27" s="49">
        <f>QDF!G7</f>
        <v>1646.7005958226571</v>
      </c>
      <c r="G27" s="49">
        <f>QDF!H7</f>
        <v>367.66711972500002</v>
      </c>
      <c r="H27" s="49">
        <f>QDF!I7</f>
        <v>140.34109760000001</v>
      </c>
      <c r="I27" s="49">
        <f>QDF!J7</f>
        <v>514.96414800000002</v>
      </c>
      <c r="J27" s="49">
        <f>QDF!K7</f>
        <v>797.30138431250009</v>
      </c>
      <c r="K27" s="49">
        <f>QDF!L7</f>
        <v>317.53280000000007</v>
      </c>
      <c r="L27" s="49">
        <f>QDF!M7</f>
        <v>1332.8662550449219</v>
      </c>
      <c r="M27" s="49">
        <f>QDF!N7</f>
        <v>499.69838906250004</v>
      </c>
      <c r="N27" s="49">
        <f>QDF!O7</f>
        <v>2838.3173468749997</v>
      </c>
      <c r="O27" s="49">
        <f>QDF!P7</f>
        <v>0</v>
      </c>
      <c r="P27" s="49">
        <f>QDF!Q7</f>
        <v>645.35598906250004</v>
      </c>
      <c r="Q27" s="49">
        <f>QDF!R7</f>
        <v>11741.873168716796</v>
      </c>
      <c r="R27" s="49">
        <f>QDF!S7</f>
        <v>1325.1904</v>
      </c>
      <c r="S27" s="49">
        <f>QDF!T7</f>
        <v>1621.5813890625</v>
      </c>
      <c r="T27" s="49">
        <f>QDF!U7</f>
        <v>1900.3029733208</v>
      </c>
      <c r="U27" s="49">
        <f>QDF!V7</f>
        <v>0</v>
      </c>
      <c r="V27" s="49">
        <f>QDF!W7</f>
        <v>1832.5646441074221</v>
      </c>
      <c r="W27" s="49">
        <f>QDF!X7</f>
        <v>0</v>
      </c>
      <c r="X27" s="49">
        <f>QDF!Y7</f>
        <v>3121.7653468749995</v>
      </c>
      <c r="Y27" s="49">
        <f>QDF!Z7</f>
        <v>817.23118906249999</v>
      </c>
      <c r="Z27" s="49">
        <f>QDF!AA7</f>
        <v>145.6576</v>
      </c>
      <c r="AA27" s="49">
        <f>QDF!AB7</f>
        <v>13782.637956802737</v>
      </c>
      <c r="AB27" s="49">
        <f>QDF!AC7</f>
        <v>645.35598906250004</v>
      </c>
      <c r="AC27" s="49">
        <f>QDF!AD7</f>
        <v>808.75799999999992</v>
      </c>
      <c r="AD27" s="49">
        <f>QDF!AE7</f>
        <v>461.06060000000002</v>
      </c>
      <c r="AE27" s="49">
        <f>QDF!AF7</f>
        <v>499.69838906250004</v>
      </c>
      <c r="AF27" s="49">
        <f>QDF!AG7</f>
        <v>2835.891336294922</v>
      </c>
      <c r="AG27" s="49">
        <f>QDF!AH7</f>
        <v>645.62919999999997</v>
      </c>
      <c r="AH27" s="49">
        <f>QDF!AI7</f>
        <v>4782.7243240234402</v>
      </c>
      <c r="AI27" s="49">
        <f>QDF!AJ7</f>
        <v>0</v>
      </c>
      <c r="AJ27" s="49">
        <f>QDF!AK7</f>
        <v>145.6576</v>
      </c>
      <c r="AK27" s="49">
        <f>QDF!AL7</f>
        <v>5570.8146331117196</v>
      </c>
      <c r="AL27" s="49">
        <f>QDF!AM7</f>
        <v>733.7814965</v>
      </c>
    </row>
    <row r="28" spans="2:38" ht="18" customHeight="1">
      <c r="B28" s="155" t="s">
        <v>125</v>
      </c>
      <c r="C28" s="54">
        <f t="shared" si="7"/>
        <v>209263.4830409326</v>
      </c>
      <c r="D28" s="54">
        <f>SUM(D29:D30)</f>
        <v>1239.3235329634635</v>
      </c>
      <c r="E28" s="54">
        <f t="shared" ref="E28:AG28" si="8">SUM(E29:E30)</f>
        <v>7760.7386624164919</v>
      </c>
      <c r="F28" s="54">
        <f t="shared" si="8"/>
        <v>18592.094773459801</v>
      </c>
      <c r="G28" s="54">
        <f t="shared" si="8"/>
        <v>18060.892065646665</v>
      </c>
      <c r="H28" s="54">
        <f t="shared" si="8"/>
        <v>17529.689357833526</v>
      </c>
      <c r="I28" s="54">
        <f t="shared" si="8"/>
        <v>16998.486650020386</v>
      </c>
      <c r="J28" s="54">
        <f t="shared" si="8"/>
        <v>16467.28394220725</v>
      </c>
      <c r="K28" s="54">
        <f t="shared" si="8"/>
        <v>15936.081234394111</v>
      </c>
      <c r="L28" s="54">
        <f t="shared" si="8"/>
        <v>15404.878526580971</v>
      </c>
      <c r="M28" s="54">
        <f t="shared" si="8"/>
        <v>14873.675818767833</v>
      </c>
      <c r="N28" s="54">
        <f t="shared" si="8"/>
        <v>14342.473110954694</v>
      </c>
      <c r="O28" s="54">
        <f t="shared" si="8"/>
        <v>13811.270403141556</v>
      </c>
      <c r="P28" s="54">
        <f t="shared" si="8"/>
        <v>13280.067695328416</v>
      </c>
      <c r="Q28" s="54">
        <f t="shared" si="8"/>
        <v>12748.864987515279</v>
      </c>
      <c r="R28" s="54">
        <f t="shared" si="8"/>
        <v>12217.662279702141</v>
      </c>
      <c r="S28" s="54">
        <f t="shared" si="8"/>
        <v>-7.234616945921049E-14</v>
      </c>
      <c r="T28" s="54">
        <f t="shared" si="8"/>
        <v>-7.234616945921049E-14</v>
      </c>
      <c r="U28" s="54">
        <f t="shared" si="8"/>
        <v>-7.234616945921049E-14</v>
      </c>
      <c r="V28" s="54">
        <f t="shared" si="8"/>
        <v>-7.234616945921049E-14</v>
      </c>
      <c r="W28" s="54">
        <f t="shared" si="8"/>
        <v>-7.234616945921049E-14</v>
      </c>
      <c r="X28" s="54">
        <f t="shared" si="8"/>
        <v>-7.234616945921049E-14</v>
      </c>
      <c r="Y28" s="54">
        <f t="shared" si="8"/>
        <v>-7.234616945921049E-14</v>
      </c>
      <c r="Z28" s="54">
        <f t="shared" si="8"/>
        <v>-7.234616945921049E-14</v>
      </c>
      <c r="AA28" s="54">
        <f t="shared" si="8"/>
        <v>-7.234616945921049E-14</v>
      </c>
      <c r="AB28" s="54">
        <f t="shared" si="8"/>
        <v>-7.234616945921049E-14</v>
      </c>
      <c r="AC28" s="54">
        <f t="shared" si="8"/>
        <v>-7.234616945921049E-14</v>
      </c>
      <c r="AD28" s="54">
        <f t="shared" si="8"/>
        <v>-7.234616945921049E-14</v>
      </c>
      <c r="AE28" s="54">
        <f t="shared" si="8"/>
        <v>-7.234616945921049E-14</v>
      </c>
      <c r="AF28" s="54">
        <f t="shared" si="8"/>
        <v>-7.234616945921049E-14</v>
      </c>
      <c r="AG28" s="54">
        <f t="shared" si="8"/>
        <v>-7.234616945921049E-14</v>
      </c>
      <c r="AH28" s="54">
        <f>SUM(AH29:AH30)</f>
        <v>-7.234616945921049E-14</v>
      </c>
      <c r="AI28" s="54">
        <f>SUM(AI29:AI30)</f>
        <v>-7.234616945921049E-14</v>
      </c>
      <c r="AJ28" s="54">
        <f>SUM(AJ29:AJ30)</f>
        <v>-7.234616945921049E-14</v>
      </c>
      <c r="AK28" s="54">
        <f>SUM(AK29:AK30)</f>
        <v>-7.234616945921049E-14</v>
      </c>
      <c r="AL28" s="54">
        <f>SUM(AL29:AL30)</f>
        <v>-7.234616945921049E-14</v>
      </c>
    </row>
    <row r="29" spans="2:38" ht="18" customHeight="1">
      <c r="B29" s="48" t="s">
        <v>54</v>
      </c>
      <c r="C29" s="52">
        <f t="shared" si="7"/>
        <v>57339.508606375573</v>
      </c>
      <c r="D29" s="49">
        <f>QDK!D25</f>
        <v>1239.3235329634635</v>
      </c>
      <c r="E29" s="49">
        <f>QDK!E25</f>
        <v>7760.7386624164919</v>
      </c>
      <c r="F29" s="49">
        <f>QDK!F25</f>
        <v>6905.6352015708007</v>
      </c>
      <c r="G29" s="49">
        <f>QDK!G25</f>
        <v>6374.432493757663</v>
      </c>
      <c r="H29" s="49">
        <f>QDK!H25</f>
        <v>5843.2297859445243</v>
      </c>
      <c r="I29" s="49">
        <f>QDK!I25</f>
        <v>5312.0270781313857</v>
      </c>
      <c r="J29" s="49">
        <f>QDK!J25</f>
        <v>4780.824370318247</v>
      </c>
      <c r="K29" s="49">
        <f>QDK!K25</f>
        <v>4249.6216625051093</v>
      </c>
      <c r="L29" s="49">
        <f>QDK!L25</f>
        <v>3718.4189546919702</v>
      </c>
      <c r="M29" s="49">
        <f>QDK!M25</f>
        <v>3187.2162468788315</v>
      </c>
      <c r="N29" s="49">
        <f>QDK!N25</f>
        <v>2656.0135390656928</v>
      </c>
      <c r="O29" s="49">
        <f>QDK!O25</f>
        <v>2124.8108312525546</v>
      </c>
      <c r="P29" s="49">
        <f>QDK!P25</f>
        <v>1593.6081234394157</v>
      </c>
      <c r="Q29" s="49">
        <f>QDK!Q25</f>
        <v>1062.4054156262771</v>
      </c>
      <c r="R29" s="49">
        <f>QDK!R25</f>
        <v>531.20270781313866</v>
      </c>
      <c r="S29" s="49">
        <f>QDK!S25</f>
        <v>-7.234616945921049E-14</v>
      </c>
      <c r="T29" s="49">
        <f>QDK!T25</f>
        <v>-7.234616945921049E-14</v>
      </c>
      <c r="U29" s="49">
        <f>QDK!U25</f>
        <v>-7.234616945921049E-14</v>
      </c>
      <c r="V29" s="49">
        <f>QDK!V25</f>
        <v>-7.234616945921049E-14</v>
      </c>
      <c r="W29" s="49">
        <f>QDK!W25</f>
        <v>-7.234616945921049E-14</v>
      </c>
      <c r="X29" s="49">
        <f>QDK!X25</f>
        <v>-7.234616945921049E-14</v>
      </c>
      <c r="Y29" s="49">
        <f>QDK!Y25</f>
        <v>-7.234616945921049E-14</v>
      </c>
      <c r="Z29" s="49">
        <f>QDK!Z25</f>
        <v>-7.234616945921049E-14</v>
      </c>
      <c r="AA29" s="49">
        <f>QDK!AA25</f>
        <v>-7.234616945921049E-14</v>
      </c>
      <c r="AB29" s="49">
        <f>QDK!AB25</f>
        <v>-7.234616945921049E-14</v>
      </c>
      <c r="AC29" s="49">
        <f>QDK!AC25</f>
        <v>-7.234616945921049E-14</v>
      </c>
      <c r="AD29" s="49">
        <f>QDK!AD25</f>
        <v>-7.234616945921049E-14</v>
      </c>
      <c r="AE29" s="49">
        <f>QDK!AE25</f>
        <v>-7.234616945921049E-14</v>
      </c>
      <c r="AF29" s="49">
        <f>QDK!AF25</f>
        <v>-7.234616945921049E-14</v>
      </c>
      <c r="AG29" s="49">
        <f>QDK!AG25</f>
        <v>-7.234616945921049E-14</v>
      </c>
      <c r="AH29" s="49">
        <f>QDK!AH25</f>
        <v>-7.234616945921049E-14</v>
      </c>
      <c r="AI29" s="49">
        <f>QDK!AI25</f>
        <v>-7.234616945921049E-14</v>
      </c>
      <c r="AJ29" s="49">
        <f>QDK!AJ25</f>
        <v>-7.234616945921049E-14</v>
      </c>
      <c r="AK29" s="49">
        <f>QDK!AK25</f>
        <v>-7.234616945921049E-14</v>
      </c>
      <c r="AL29" s="49">
        <f>QDK!AL25</f>
        <v>-7.234616945921049E-14</v>
      </c>
    </row>
    <row r="30" spans="2:38" ht="18" customHeight="1">
      <c r="B30" s="48" t="s">
        <v>126</v>
      </c>
      <c r="C30" s="52">
        <f t="shared" si="7"/>
        <v>151923.97443455702</v>
      </c>
      <c r="D30" s="49">
        <f>QDH!D26</f>
        <v>0</v>
      </c>
      <c r="E30" s="49">
        <f>QDH!E26</f>
        <v>0</v>
      </c>
      <c r="F30" s="49">
        <f>QDH!F26</f>
        <v>11686.459571889001</v>
      </c>
      <c r="G30" s="49">
        <f>QDH!G26</f>
        <v>11686.459571889001</v>
      </c>
      <c r="H30" s="49">
        <f>QDH!H26</f>
        <v>11686.459571889001</v>
      </c>
      <c r="I30" s="49">
        <f>QDH!I26</f>
        <v>11686.459571889001</v>
      </c>
      <c r="J30" s="49">
        <f>QDH!J26</f>
        <v>11686.459571889001</v>
      </c>
      <c r="K30" s="49">
        <f>QDH!K26</f>
        <v>11686.459571889001</v>
      </c>
      <c r="L30" s="49">
        <f>QDH!L26</f>
        <v>11686.459571889001</v>
      </c>
      <c r="M30" s="49">
        <f>QDH!M26</f>
        <v>11686.459571889001</v>
      </c>
      <c r="N30" s="49">
        <f>QDH!N26</f>
        <v>11686.459571889001</v>
      </c>
      <c r="O30" s="49">
        <f>QDH!O26</f>
        <v>11686.459571889001</v>
      </c>
      <c r="P30" s="49">
        <f>QDH!P26</f>
        <v>11686.459571889001</v>
      </c>
      <c r="Q30" s="49">
        <f>QDH!Q26</f>
        <v>11686.459571889001</v>
      </c>
      <c r="R30" s="49">
        <f>QDH!R26</f>
        <v>11686.459571889001</v>
      </c>
      <c r="S30" s="49">
        <f>QDH!S26</f>
        <v>0</v>
      </c>
      <c r="T30" s="49">
        <f>QDH!T26</f>
        <v>0</v>
      </c>
      <c r="U30" s="49">
        <f>QDH!U26</f>
        <v>0</v>
      </c>
      <c r="V30" s="49">
        <f>QDH!V26</f>
        <v>0</v>
      </c>
      <c r="W30" s="49">
        <f>QDH!W26</f>
        <v>0</v>
      </c>
      <c r="X30" s="49">
        <f>QDH!X26</f>
        <v>0</v>
      </c>
      <c r="Y30" s="49">
        <f>QDH!Y26</f>
        <v>0</v>
      </c>
      <c r="Z30" s="49">
        <f>QDH!Z26</f>
        <v>0</v>
      </c>
      <c r="AA30" s="49">
        <f>QDH!AA26</f>
        <v>0</v>
      </c>
      <c r="AB30" s="49">
        <f>QDH!AB26</f>
        <v>0</v>
      </c>
      <c r="AC30" s="49">
        <f>QDH!AC26</f>
        <v>0</v>
      </c>
      <c r="AD30" s="49">
        <f>QDH!AD26</f>
        <v>0</v>
      </c>
      <c r="AE30" s="49">
        <f>QDH!AE26</f>
        <v>0</v>
      </c>
      <c r="AF30" s="49">
        <f>QDH!AF26</f>
        <v>0</v>
      </c>
      <c r="AG30" s="49">
        <f>QDH!AG26</f>
        <v>0</v>
      </c>
      <c r="AH30" s="49">
        <f>QDH!AH26</f>
        <v>0</v>
      </c>
      <c r="AI30" s="49">
        <f>QDH!AI26</f>
        <v>0</v>
      </c>
      <c r="AJ30" s="49">
        <f>QDH!AJ26</f>
        <v>0</v>
      </c>
      <c r="AK30" s="49">
        <f>QDH!AK26</f>
        <v>0</v>
      </c>
      <c r="AL30" s="49">
        <f>QDH!AL26</f>
        <v>0</v>
      </c>
    </row>
    <row r="31" spans="2:38" ht="24.95" customHeight="1">
      <c r="B31" s="43" t="s">
        <v>104</v>
      </c>
      <c r="C31" s="41">
        <f t="shared" si="7"/>
        <v>1534343.7437931166</v>
      </c>
      <c r="D31" s="41">
        <f t="shared" ref="D31:AG31" si="9">D4-D11</f>
        <v>0</v>
      </c>
      <c r="E31" s="41">
        <f t="shared" si="9"/>
        <v>0</v>
      </c>
      <c r="F31" s="41">
        <f t="shared" si="9"/>
        <v>-1646.7005958226509</v>
      </c>
      <c r="G31" s="41">
        <f t="shared" si="9"/>
        <v>6053.7531687478549</v>
      </c>
      <c r="H31" s="41">
        <f t="shared" si="9"/>
        <v>11336.497154869714</v>
      </c>
      <c r="I31" s="41">
        <f t="shared" si="9"/>
        <v>13934.375423331607</v>
      </c>
      <c r="J31" s="41">
        <f t="shared" si="9"/>
        <v>14892.075327839055</v>
      </c>
      <c r="K31" s="41">
        <f t="shared" si="9"/>
        <v>18310.092635788184</v>
      </c>
      <c r="L31" s="41">
        <f t="shared" si="9"/>
        <v>20391.633870755155</v>
      </c>
      <c r="M31" s="41">
        <f t="shared" si="9"/>
        <v>25021.230775307937</v>
      </c>
      <c r="N31" s="41">
        <f t="shared" si="9"/>
        <v>24685.177251758643</v>
      </c>
      <c r="O31" s="41">
        <f t="shared" si="9"/>
        <v>23082.113655859459</v>
      </c>
      <c r="P31" s="41">
        <f t="shared" si="9"/>
        <v>25074.295321436075</v>
      </c>
      <c r="Q31" s="41">
        <f t="shared" si="9"/>
        <v>16998.906573965898</v>
      </c>
      <c r="R31" s="41">
        <f t="shared" si="9"/>
        <v>25619.471995267697</v>
      </c>
      <c r="S31" s="41">
        <f t="shared" si="9"/>
        <v>42007.150892336678</v>
      </c>
      <c r="T31" s="41">
        <f t="shared" si="9"/>
        <v>36106.803942717714</v>
      </c>
      <c r="U31" s="41">
        <f t="shared" si="9"/>
        <v>48932.506761764205</v>
      </c>
      <c r="V31" s="41">
        <f t="shared" si="9"/>
        <v>49388.930970950809</v>
      </c>
      <c r="W31" s="41">
        <f t="shared" si="9"/>
        <v>53479.47002088037</v>
      </c>
      <c r="X31" s="41">
        <f t="shared" si="9"/>
        <v>52450.865181926856</v>
      </c>
      <c r="Y31" s="41">
        <f t="shared" si="9"/>
        <v>57567.858214289023</v>
      </c>
      <c r="Z31" s="41">
        <f t="shared" si="9"/>
        <v>60993.586742952612</v>
      </c>
      <c r="AA31" s="41">
        <f t="shared" si="9"/>
        <v>50620.853428292976</v>
      </c>
      <c r="AB31" s="41">
        <f t="shared" si="9"/>
        <v>66994.040790050989</v>
      </c>
      <c r="AC31" s="41">
        <f t="shared" si="9"/>
        <v>69660.820050496986</v>
      </c>
      <c r="AD31" s="41">
        <f t="shared" si="9"/>
        <v>72779.014195686352</v>
      </c>
      <c r="AE31" s="41">
        <f t="shared" si="9"/>
        <v>75611.540020936824</v>
      </c>
      <c r="AF31" s="41">
        <f t="shared" si="9"/>
        <v>75708.460945550585</v>
      </c>
      <c r="AG31" s="41">
        <f t="shared" si="9"/>
        <v>59394.491391520656</v>
      </c>
      <c r="AH31" s="41">
        <f>AH4-AH11</f>
        <v>80554.159323926433</v>
      </c>
      <c r="AI31" s="41">
        <f>AI4-AI11</f>
        <v>88112.429216045886</v>
      </c>
      <c r="AJ31" s="41">
        <f>AJ4-AJ11</f>
        <v>90583.037847375599</v>
      </c>
      <c r="AK31" s="41">
        <f>AK4-AK11</f>
        <v>88258.051153511784</v>
      </c>
      <c r="AL31" s="41">
        <f>AL4-AL11</f>
        <v>91386.750142798512</v>
      </c>
    </row>
    <row r="32" spans="2:38" ht="24.95" customHeight="1">
      <c r="B32" s="43" t="s">
        <v>105</v>
      </c>
      <c r="C32" s="41"/>
      <c r="D32" s="41">
        <f>D31</f>
        <v>0</v>
      </c>
      <c r="E32" s="41">
        <f>E31+D32</f>
        <v>0</v>
      </c>
      <c r="F32" s="41">
        <f>F31+E32</f>
        <v>-1646.7005958226509</v>
      </c>
      <c r="G32" s="41">
        <f>G31+F32</f>
        <v>4407.052572925204</v>
      </c>
      <c r="H32" s="41">
        <f>H31+G32</f>
        <v>15743.549727794918</v>
      </c>
      <c r="I32" s="41">
        <f t="shared" ref="I32:AG32" si="10">I31+H32</f>
        <v>29677.925151126525</v>
      </c>
      <c r="J32" s="41">
        <f t="shared" si="10"/>
        <v>44570.00047896558</v>
      </c>
      <c r="K32" s="41">
        <f t="shared" si="10"/>
        <v>62880.093114753763</v>
      </c>
      <c r="L32" s="41">
        <f t="shared" si="10"/>
        <v>83271.726985508925</v>
      </c>
      <c r="M32" s="41">
        <f t="shared" si="10"/>
        <v>108292.95776081686</v>
      </c>
      <c r="N32" s="41">
        <f t="shared" si="10"/>
        <v>132978.13501257551</v>
      </c>
      <c r="O32" s="41">
        <f t="shared" si="10"/>
        <v>156060.24866843497</v>
      </c>
      <c r="P32" s="41">
        <f t="shared" si="10"/>
        <v>181134.54398987105</v>
      </c>
      <c r="Q32" s="41">
        <f t="shared" si="10"/>
        <v>198133.45056383696</v>
      </c>
      <c r="R32" s="41">
        <f t="shared" si="10"/>
        <v>223752.92255910466</v>
      </c>
      <c r="S32" s="41">
        <f t="shared" si="10"/>
        <v>265760.07345144136</v>
      </c>
      <c r="T32" s="41">
        <f t="shared" si="10"/>
        <v>301866.87739415909</v>
      </c>
      <c r="U32" s="41">
        <f t="shared" si="10"/>
        <v>350799.38415592327</v>
      </c>
      <c r="V32" s="41">
        <f t="shared" si="10"/>
        <v>400188.31512687408</v>
      </c>
      <c r="W32" s="41">
        <f t="shared" si="10"/>
        <v>453667.78514775448</v>
      </c>
      <c r="X32" s="41">
        <f t="shared" si="10"/>
        <v>506118.65032968135</v>
      </c>
      <c r="Y32" s="41">
        <f t="shared" si="10"/>
        <v>563686.50854397041</v>
      </c>
      <c r="Z32" s="41">
        <f t="shared" si="10"/>
        <v>624680.095286923</v>
      </c>
      <c r="AA32" s="41">
        <f t="shared" si="10"/>
        <v>675300.94871521601</v>
      </c>
      <c r="AB32" s="41">
        <f t="shared" si="10"/>
        <v>742294.989505267</v>
      </c>
      <c r="AC32" s="41">
        <f t="shared" si="10"/>
        <v>811955.80955576396</v>
      </c>
      <c r="AD32" s="41">
        <f t="shared" si="10"/>
        <v>884734.82375145028</v>
      </c>
      <c r="AE32" s="41">
        <f t="shared" si="10"/>
        <v>960346.36377238715</v>
      </c>
      <c r="AF32" s="41">
        <f t="shared" si="10"/>
        <v>1036054.8247179377</v>
      </c>
      <c r="AG32" s="41">
        <f t="shared" si="10"/>
        <v>1095449.3161094585</v>
      </c>
      <c r="AH32" s="41">
        <f>AH31+AG32</f>
        <v>1176003.475433385</v>
      </c>
      <c r="AI32" s="41">
        <f>AI31+AH32</f>
        <v>1264115.9046494309</v>
      </c>
      <c r="AJ32" s="41">
        <f>AJ31+AI32</f>
        <v>1354698.9424968064</v>
      </c>
      <c r="AK32" s="41">
        <f>AK31+AJ32</f>
        <v>1442956.9936503181</v>
      </c>
      <c r="AL32" s="41">
        <f>AL31+AK32</f>
        <v>1534343.7437931166</v>
      </c>
    </row>
    <row r="33" spans="2:38" ht="24.95" customHeight="1">
      <c r="B33" s="156" t="s">
        <v>351</v>
      </c>
      <c r="C33" s="95">
        <f>IRR(D34:AL34)</f>
        <v>0.15860520426955937</v>
      </c>
    </row>
    <row r="34" spans="2:38">
      <c r="C34" s="146"/>
      <c r="D34" s="69">
        <f>D31-D9</f>
        <v>-73947.429420976914</v>
      </c>
      <c r="E34" s="69">
        <f t="shared" ref="E34:AL34" si="11">E31-E9</f>
        <v>-30759.194736901693</v>
      </c>
      <c r="F34" s="69">
        <f t="shared" si="11"/>
        <v>-4471.5620135823156</v>
      </c>
      <c r="G34" s="69">
        <f t="shared" si="11"/>
        <v>6053.7531687478549</v>
      </c>
      <c r="H34" s="69">
        <f t="shared" si="11"/>
        <v>11336.497154869714</v>
      </c>
      <c r="I34" s="69">
        <f t="shared" si="11"/>
        <v>13934.375423331607</v>
      </c>
      <c r="J34" s="69">
        <f t="shared" si="11"/>
        <v>14892.075327839055</v>
      </c>
      <c r="K34" s="69">
        <f t="shared" si="11"/>
        <v>18310.092635788184</v>
      </c>
      <c r="L34" s="69">
        <f t="shared" si="11"/>
        <v>20391.633870755155</v>
      </c>
      <c r="M34" s="69">
        <f t="shared" si="11"/>
        <v>25021.230775307937</v>
      </c>
      <c r="N34" s="69">
        <f t="shared" si="11"/>
        <v>24685.177251758643</v>
      </c>
      <c r="O34" s="69">
        <f t="shared" si="11"/>
        <v>23082.113655859459</v>
      </c>
      <c r="P34" s="69">
        <f t="shared" si="11"/>
        <v>25074.295321436075</v>
      </c>
      <c r="Q34" s="69">
        <f t="shared" si="11"/>
        <v>16998.906573965898</v>
      </c>
      <c r="R34" s="69">
        <f t="shared" si="11"/>
        <v>25619.471995267697</v>
      </c>
      <c r="S34" s="69">
        <f t="shared" si="11"/>
        <v>42007.150892336678</v>
      </c>
      <c r="T34" s="69">
        <f t="shared" si="11"/>
        <v>36106.803942717714</v>
      </c>
      <c r="U34" s="69">
        <f t="shared" si="11"/>
        <v>48932.506761764205</v>
      </c>
      <c r="V34" s="69">
        <f t="shared" si="11"/>
        <v>49388.930970950809</v>
      </c>
      <c r="W34" s="69">
        <f t="shared" si="11"/>
        <v>53479.47002088037</v>
      </c>
      <c r="X34" s="69">
        <f t="shared" si="11"/>
        <v>52450.865181926856</v>
      </c>
      <c r="Y34" s="69">
        <f t="shared" si="11"/>
        <v>57567.858214289023</v>
      </c>
      <c r="Z34" s="69">
        <f t="shared" si="11"/>
        <v>60993.586742952612</v>
      </c>
      <c r="AA34" s="69">
        <f t="shared" si="11"/>
        <v>50620.853428292976</v>
      </c>
      <c r="AB34" s="69">
        <f t="shared" si="11"/>
        <v>66994.040790050989</v>
      </c>
      <c r="AC34" s="69">
        <f t="shared" si="11"/>
        <v>69660.820050496986</v>
      </c>
      <c r="AD34" s="69">
        <f t="shared" si="11"/>
        <v>72779.014195686352</v>
      </c>
      <c r="AE34" s="69">
        <f t="shared" si="11"/>
        <v>75611.540020936824</v>
      </c>
      <c r="AF34" s="69">
        <f t="shared" si="11"/>
        <v>75708.460945550585</v>
      </c>
      <c r="AG34" s="69">
        <f t="shared" si="11"/>
        <v>59394.491391520656</v>
      </c>
      <c r="AH34" s="69">
        <f t="shared" si="11"/>
        <v>80554.159323926433</v>
      </c>
      <c r="AI34" s="69">
        <f t="shared" si="11"/>
        <v>88112.429216045886</v>
      </c>
      <c r="AJ34" s="69">
        <f t="shared" si="11"/>
        <v>90583.037847375599</v>
      </c>
      <c r="AK34" s="69">
        <f t="shared" si="11"/>
        <v>88258.051153511784</v>
      </c>
      <c r="AL34" s="69">
        <f t="shared" si="11"/>
        <v>91386.750142798512</v>
      </c>
    </row>
  </sheetData>
  <phoneticPr fontId="33" type="noConversion"/>
  <printOptions horizontalCentered="1"/>
  <pageMargins left="0.98425196850393704" right="0.39370078740157483" top="1.1811023622047245" bottom="0.78740157480314965" header="0.78740157480314965" footer="0.78740157480314965"/>
  <pageSetup paperSize="9" scale="65" orientation="landscape" r:id="rId1"/>
  <headerFooter>
    <oddFooter>&amp;L&amp;"Arial,Negrito"Nota: Receitas e Custos de Construção e Impostos Diferidos (CSLL e IR)  contabilizados não afetam o fluxo de caixa e, assim, não constam nos itens 1.1.2 , 2.1.5 e 2.1.10 deste demonstrativo.</oddFooter>
  </headerFooter>
  <colBreaks count="2" manualBreakCount="2">
    <brk id="15" max="32" man="1"/>
    <brk id="27" max="32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Planilha17"/>
  <dimension ref="B1:AL21"/>
  <sheetViews>
    <sheetView showGridLines="0" zoomScale="84" zoomScaleNormal="84" workbookViewId="0">
      <pane xSplit="3" ySplit="3" topLeftCell="D13" activePane="bottomRight" state="frozen"/>
      <selection sqref="A1:G1"/>
      <selection pane="topRight" sqref="A1:G1"/>
      <selection pane="bottomLeft" sqref="A1:G1"/>
      <selection pane="bottomRight" activeCell="D4" sqref="D4"/>
    </sheetView>
  </sheetViews>
  <sheetFormatPr defaultColWidth="9.140625" defaultRowHeight="12.75"/>
  <cols>
    <col min="1" max="1" width="2" style="126" customWidth="1"/>
    <col min="2" max="2" width="47.85546875" style="126" customWidth="1"/>
    <col min="3" max="3" width="12.85546875" style="126" bestFit="1" customWidth="1"/>
    <col min="4" max="38" width="10.7109375" style="126" customWidth="1"/>
    <col min="39" max="16384" width="9.140625" style="126"/>
  </cols>
  <sheetData>
    <row r="1" spans="2:38" ht="39.950000000000003" customHeight="1">
      <c r="B1" s="125" t="str">
        <f>QDA!B1:O1</f>
        <v>CONCESSIONÁRIA ROTA DO ATLÂNTICO</v>
      </c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25"/>
      <c r="R1" s="125"/>
      <c r="S1" s="125"/>
      <c r="T1" s="125"/>
      <c r="U1" s="125"/>
      <c r="V1" s="125"/>
      <c r="W1" s="125"/>
      <c r="X1" s="125"/>
      <c r="Y1" s="125"/>
      <c r="Z1" s="125"/>
      <c r="AA1" s="125"/>
      <c r="AB1" s="125"/>
      <c r="AC1" s="125"/>
      <c r="AD1" s="125"/>
      <c r="AE1" s="125"/>
      <c r="AF1" s="125"/>
      <c r="AG1" s="125"/>
    </row>
    <row r="2" spans="2:38" ht="22.7" customHeight="1">
      <c r="B2" s="127" t="s">
        <v>346</v>
      </c>
      <c r="C2" s="128" t="s">
        <v>43</v>
      </c>
      <c r="AG2" s="129"/>
      <c r="AL2" s="129" t="s">
        <v>230</v>
      </c>
    </row>
    <row r="3" spans="2:38" s="131" customFormat="1" ht="30.2" customHeight="1">
      <c r="B3" s="130" t="s">
        <v>78</v>
      </c>
      <c r="C3" s="130" t="s">
        <v>4</v>
      </c>
      <c r="D3" s="130">
        <v>1</v>
      </c>
      <c r="E3" s="130">
        <v>2</v>
      </c>
      <c r="F3" s="130">
        <v>3</v>
      </c>
      <c r="G3" s="130">
        <v>4</v>
      </c>
      <c r="H3" s="130">
        <v>5</v>
      </c>
      <c r="I3" s="130">
        <v>6</v>
      </c>
      <c r="J3" s="130">
        <v>7</v>
      </c>
      <c r="K3" s="130">
        <v>8</v>
      </c>
      <c r="L3" s="130">
        <v>9</v>
      </c>
      <c r="M3" s="130">
        <v>10</v>
      </c>
      <c r="N3" s="130">
        <v>11</v>
      </c>
      <c r="O3" s="130">
        <v>12</v>
      </c>
      <c r="P3" s="130">
        <v>13</v>
      </c>
      <c r="Q3" s="130">
        <v>14</v>
      </c>
      <c r="R3" s="130">
        <v>15</v>
      </c>
      <c r="S3" s="130">
        <v>16</v>
      </c>
      <c r="T3" s="130">
        <v>17</v>
      </c>
      <c r="U3" s="130">
        <v>18</v>
      </c>
      <c r="V3" s="130">
        <v>19</v>
      </c>
      <c r="W3" s="130">
        <v>20</v>
      </c>
      <c r="X3" s="130">
        <v>21</v>
      </c>
      <c r="Y3" s="130">
        <v>22</v>
      </c>
      <c r="Z3" s="130">
        <v>23</v>
      </c>
      <c r="AA3" s="130">
        <v>24</v>
      </c>
      <c r="AB3" s="130">
        <v>25</v>
      </c>
      <c r="AC3" s="130">
        <v>26</v>
      </c>
      <c r="AD3" s="130">
        <v>27</v>
      </c>
      <c r="AE3" s="130">
        <v>28</v>
      </c>
      <c r="AF3" s="130">
        <v>29</v>
      </c>
      <c r="AG3" s="130">
        <v>30</v>
      </c>
      <c r="AH3" s="130">
        <v>31</v>
      </c>
      <c r="AI3" s="130">
        <v>32</v>
      </c>
      <c r="AJ3" s="130">
        <v>33</v>
      </c>
      <c r="AK3" s="130">
        <v>34</v>
      </c>
      <c r="AL3" s="130">
        <v>35</v>
      </c>
    </row>
    <row r="4" spans="2:38" ht="24.95" customHeight="1">
      <c r="B4" s="132" t="s">
        <v>332</v>
      </c>
      <c r="C4" s="41">
        <f t="shared" ref="C4:C19" si="0">SUM(D4:AL4)</f>
        <v>24588043.724578168</v>
      </c>
      <c r="D4" s="41">
        <f>D5+D6+D7+D10</f>
        <v>87372.410812897782</v>
      </c>
      <c r="E4" s="41">
        <f t="shared" ref="E4:AL4" si="1">E5+E6+E7+E10</f>
        <v>223392.78917190223</v>
      </c>
      <c r="F4" s="41">
        <f t="shared" si="1"/>
        <v>225348.00780878868</v>
      </c>
      <c r="G4" s="41">
        <f t="shared" si="1"/>
        <v>234290.37666565896</v>
      </c>
      <c r="H4" s="41">
        <f t="shared" si="1"/>
        <v>246729.93710808395</v>
      </c>
      <c r="I4" s="41">
        <f t="shared" si="1"/>
        <v>262044.12226922475</v>
      </c>
      <c r="J4" s="41">
        <f t="shared" si="1"/>
        <v>278770.63998523814</v>
      </c>
      <c r="K4" s="41">
        <f t="shared" si="1"/>
        <v>297667.68226344412</v>
      </c>
      <c r="L4" s="41">
        <f t="shared" si="1"/>
        <v>319839.89746037789</v>
      </c>
      <c r="M4" s="41">
        <f t="shared" si="1"/>
        <v>346819.78515199776</v>
      </c>
      <c r="N4" s="41">
        <f t="shared" si="1"/>
        <v>378897.54313839681</v>
      </c>
      <c r="O4" s="41">
        <f t="shared" si="1"/>
        <v>405691.83340956742</v>
      </c>
      <c r="P4" s="41">
        <f t="shared" si="1"/>
        <v>434341.38775380695</v>
      </c>
      <c r="Q4" s="41">
        <f t="shared" si="1"/>
        <v>464027.71895674214</v>
      </c>
      <c r="R4" s="41">
        <f t="shared" si="1"/>
        <v>492486.46121513157</v>
      </c>
      <c r="S4" s="41">
        <f t="shared" si="1"/>
        <v>522569.10829618317</v>
      </c>
      <c r="T4" s="41">
        <f t="shared" si="1"/>
        <v>556032.83951914276</v>
      </c>
      <c r="U4" s="41">
        <f t="shared" si="1"/>
        <v>591428.02604664583</v>
      </c>
      <c r="V4" s="41">
        <f t="shared" si="1"/>
        <v>631737.08251503494</v>
      </c>
      <c r="W4" s="41">
        <f t="shared" si="1"/>
        <v>674979.98503170686</v>
      </c>
      <c r="X4" s="41">
        <f t="shared" si="1"/>
        <v>719850.97045051912</v>
      </c>
      <c r="Y4" s="41">
        <f t="shared" si="1"/>
        <v>767045.12527652562</v>
      </c>
      <c r="Z4" s="41">
        <f t="shared" si="1"/>
        <v>816639.59821055899</v>
      </c>
      <c r="AA4" s="41">
        <f t="shared" si="1"/>
        <v>867841.16684546601</v>
      </c>
      <c r="AB4" s="41">
        <f t="shared" si="1"/>
        <v>921704.67969421507</v>
      </c>
      <c r="AC4" s="41">
        <f t="shared" si="1"/>
        <v>978548.03381390416</v>
      </c>
      <c r="AD4" s="41">
        <f t="shared" si="1"/>
        <v>1039998.217108601</v>
      </c>
      <c r="AE4" s="41">
        <f t="shared" si="1"/>
        <v>1103872.1987476109</v>
      </c>
      <c r="AF4" s="41">
        <f t="shared" si="1"/>
        <v>1170790.9865916115</v>
      </c>
      <c r="AG4" s="41">
        <f t="shared" si="1"/>
        <v>1241388.4410115019</v>
      </c>
      <c r="AH4" s="41">
        <f t="shared" si="1"/>
        <v>1310541.5198926381</v>
      </c>
      <c r="AI4" s="41">
        <f t="shared" si="1"/>
        <v>1381618.1341380898</v>
      </c>
      <c r="AJ4" s="41">
        <f t="shared" si="1"/>
        <v>1456063.540743778</v>
      </c>
      <c r="AK4" s="41">
        <f t="shared" si="1"/>
        <v>1532039.5017939876</v>
      </c>
      <c r="AL4" s="41">
        <f t="shared" si="1"/>
        <v>1605633.975679189</v>
      </c>
    </row>
    <row r="5" spans="2:38" ht="18" customHeight="1">
      <c r="B5" s="133" t="s">
        <v>333</v>
      </c>
      <c r="C5" s="64">
        <f t="shared" si="0"/>
        <v>20763740.272068869</v>
      </c>
      <c r="D5" s="49"/>
      <c r="E5" s="49"/>
      <c r="F5" s="49">
        <f>QDL!F26</f>
        <v>10261.764738074216</v>
      </c>
      <c r="G5" s="49">
        <f>QDL!G26+F5</f>
        <v>29886.59727053942</v>
      </c>
      <c r="H5" s="49">
        <f>QDL!H26+G5</f>
        <v>53737.474031915452</v>
      </c>
      <c r="I5" s="49">
        <f>QDL!I26+H5</f>
        <v>79530.262651335186</v>
      </c>
      <c r="J5" s="49">
        <f>QDL!J26+I5</f>
        <v>105230.61987423556</v>
      </c>
      <c r="K5" s="49">
        <f>QDL!K26+J5</f>
        <v>133268.09474240313</v>
      </c>
      <c r="L5" s="49">
        <f>QDL!L26+K5</f>
        <v>163846.49156492541</v>
      </c>
      <c r="M5" s="49">
        <f>QDL!M26+L5</f>
        <v>197182.55265639047</v>
      </c>
      <c r="N5" s="49">
        <f>QDL!N26+M5</f>
        <v>233259.00298455902</v>
      </c>
      <c r="O5" s="49">
        <f>QDL!O26+N5</f>
        <v>267042.90812583041</v>
      </c>
      <c r="P5" s="49">
        <f>QDL!P26+O5</f>
        <v>301989.7735315832</v>
      </c>
      <c r="Q5" s="49">
        <f>QDL!Q26+P5</f>
        <v>327950.58162665082</v>
      </c>
      <c r="R5" s="49">
        <f>QDL!R26+Q5</f>
        <v>361733.78310586355</v>
      </c>
      <c r="S5" s="49">
        <f>QDL!S26+R5</f>
        <v>399420.03187309962</v>
      </c>
      <c r="T5" s="49">
        <f>QDL!T26+S5</f>
        <v>431891.5154407167</v>
      </c>
      <c r="U5" s="49">
        <f>QDL!U26+T5</f>
        <v>477171.59669115563</v>
      </c>
      <c r="V5" s="49">
        <f>QDL!V26+U5</f>
        <v>524477.51678700582</v>
      </c>
      <c r="W5" s="49">
        <f>QDL!W26+V5</f>
        <v>575426.39768278552</v>
      </c>
      <c r="X5" s="49">
        <f>QDL!X26+W5</f>
        <v>624899.09548961173</v>
      </c>
      <c r="Y5" s="49">
        <f>QDL!Y26+X5</f>
        <v>679041.20807880012</v>
      </c>
      <c r="Z5" s="49">
        <f>QDL!Z26+Y5</f>
        <v>736161.47094665212</v>
      </c>
      <c r="AA5" s="49">
        <f>QDL!AA26+Z5</f>
        <v>782461.42224984453</v>
      </c>
      <c r="AB5" s="49">
        <f>QDL!AB26+AA5</f>
        <v>845820.14266479493</v>
      </c>
      <c r="AC5" s="49">
        <f>QDL!AC26+AB5</f>
        <v>911828.53720396664</v>
      </c>
      <c r="AD5" s="49">
        <f>QDL!AD26+AC5</f>
        <v>982524.54052455234</v>
      </c>
      <c r="AE5" s="49">
        <f>QDL!AE26+AD5</f>
        <v>1055605.4914203885</v>
      </c>
      <c r="AF5" s="49">
        <f>QDL!AF26+AE5</f>
        <v>1128335.7849908385</v>
      </c>
      <c r="AG5" s="49">
        <f>QDL!AG26+AF5</f>
        <v>1184304.5307572586</v>
      </c>
      <c r="AH5" s="49">
        <f>QDL!AH26+AG5</f>
        <v>1260985.3662060844</v>
      </c>
      <c r="AI5" s="49">
        <f>QDL!AI26+AH5</f>
        <v>1344776.8932970297</v>
      </c>
      <c r="AJ5" s="49">
        <f>QDL!AJ26+AI5</f>
        <v>1431724.6107693047</v>
      </c>
      <c r="AK5" s="49">
        <f>QDL!AK26+AJ5</f>
        <v>1516330.2364114912</v>
      </c>
      <c r="AL5" s="49">
        <f>QDL!AL26+AK5</f>
        <v>1605633.975679189</v>
      </c>
    </row>
    <row r="6" spans="2:38" ht="18" customHeight="1">
      <c r="B6" s="133" t="s">
        <v>334</v>
      </c>
      <c r="C6" s="64">
        <f t="shared" si="0"/>
        <v>65962.457218671945</v>
      </c>
      <c r="D6" s="49">
        <f>QDJ!D40</f>
        <v>4693.3648897791945</v>
      </c>
      <c r="E6" s="49">
        <f>QDJ!E40</f>
        <v>12486.112206897229</v>
      </c>
      <c r="F6" s="49">
        <f>QDJ!F40</f>
        <v>12234.649240004519</v>
      </c>
      <c r="G6" s="49">
        <f>QDJ!G40</f>
        <v>11087.738946357076</v>
      </c>
      <c r="H6" s="49">
        <f>QDJ!H40</f>
        <v>9490.1028532110249</v>
      </c>
      <c r="I6" s="49">
        <f>QDJ!I40</f>
        <v>7524.127530446297</v>
      </c>
      <c r="J6" s="49">
        <f>QDJ!J40</f>
        <v>5379.9715092934239</v>
      </c>
      <c r="K6" s="49">
        <f>QDJ!K40</f>
        <v>2955.9299459793201</v>
      </c>
      <c r="L6" s="49">
        <f>QDJ!L40</f>
        <v>110.46009670385138</v>
      </c>
      <c r="M6" s="49">
        <f>QDJ!M40</f>
        <v>0</v>
      </c>
      <c r="N6" s="49">
        <f>QDJ!N40</f>
        <v>0</v>
      </c>
      <c r="O6" s="49">
        <f>QDJ!O40</f>
        <v>0</v>
      </c>
      <c r="P6" s="49">
        <f>QDJ!P40</f>
        <v>0</v>
      </c>
      <c r="Q6" s="49">
        <f>QDJ!Q40</f>
        <v>0</v>
      </c>
      <c r="R6" s="49">
        <f>QDJ!R40</f>
        <v>0</v>
      </c>
      <c r="S6" s="49">
        <f>QDJ!S40</f>
        <v>0</v>
      </c>
      <c r="T6" s="49">
        <f>QDJ!T40</f>
        <v>0</v>
      </c>
      <c r="U6" s="49">
        <f>QDJ!U40</f>
        <v>0</v>
      </c>
      <c r="V6" s="49">
        <f>QDJ!V40</f>
        <v>0</v>
      </c>
      <c r="W6" s="49">
        <f>QDJ!W40</f>
        <v>0</v>
      </c>
      <c r="X6" s="49">
        <f>QDJ!X40</f>
        <v>0</v>
      </c>
      <c r="Y6" s="49">
        <f>QDJ!Y40</f>
        <v>0</v>
      </c>
      <c r="Z6" s="49">
        <f>QDJ!Z40</f>
        <v>0</v>
      </c>
      <c r="AA6" s="49">
        <f>QDJ!AA40</f>
        <v>0</v>
      </c>
      <c r="AB6" s="49">
        <f>QDJ!AB40</f>
        <v>0</v>
      </c>
      <c r="AC6" s="49">
        <f>QDJ!AC40</f>
        <v>0</v>
      </c>
      <c r="AD6" s="49">
        <f>QDJ!AD40</f>
        <v>0</v>
      </c>
      <c r="AE6" s="49">
        <f>QDJ!AE40</f>
        <v>0</v>
      </c>
      <c r="AF6" s="49">
        <f>QDJ!AF40</f>
        <v>0</v>
      </c>
      <c r="AG6" s="49">
        <f>QDJ!AG40</f>
        <v>0</v>
      </c>
      <c r="AH6" s="49">
        <f>QDJ!AH40</f>
        <v>0</v>
      </c>
      <c r="AI6" s="49">
        <f>QDJ!AI40</f>
        <v>0</v>
      </c>
      <c r="AJ6" s="49">
        <f>QDJ!AJ40</f>
        <v>0</v>
      </c>
      <c r="AK6" s="49">
        <f>QDJ!AK40</f>
        <v>0</v>
      </c>
      <c r="AL6" s="49">
        <f>QDJ!AL40</f>
        <v>0</v>
      </c>
    </row>
    <row r="7" spans="2:38" ht="18" customHeight="1">
      <c r="B7" s="133" t="s">
        <v>335</v>
      </c>
      <c r="C7" s="64">
        <f t="shared" si="0"/>
        <v>3559353.5391985164</v>
      </c>
      <c r="D7" s="49">
        <f>D8+D9</f>
        <v>72192.175904472373</v>
      </c>
      <c r="E7" s="49">
        <f t="shared" ref="E7:AL7" si="2">E8+E9</f>
        <v>195102.65852461013</v>
      </c>
      <c r="F7" s="49">
        <f t="shared" si="2"/>
        <v>189190.4567511371</v>
      </c>
      <c r="G7" s="49">
        <f t="shared" si="2"/>
        <v>183278.25497766407</v>
      </c>
      <c r="H7" s="49">
        <f t="shared" si="2"/>
        <v>177366.05320419103</v>
      </c>
      <c r="I7" s="49">
        <f t="shared" si="2"/>
        <v>171453.851430718</v>
      </c>
      <c r="J7" s="49">
        <f t="shared" si="2"/>
        <v>165541.64965724497</v>
      </c>
      <c r="K7" s="49">
        <f t="shared" si="2"/>
        <v>159629.44788377194</v>
      </c>
      <c r="L7" s="49">
        <f t="shared" si="2"/>
        <v>153717.2461102989</v>
      </c>
      <c r="M7" s="49">
        <f t="shared" si="2"/>
        <v>147805.04433682587</v>
      </c>
      <c r="N7" s="49">
        <f t="shared" si="2"/>
        <v>141892.84256335284</v>
      </c>
      <c r="O7" s="49">
        <f t="shared" si="2"/>
        <v>135980.64078987981</v>
      </c>
      <c r="P7" s="49">
        <f t="shared" si="2"/>
        <v>130068.43901640676</v>
      </c>
      <c r="Q7" s="49">
        <f t="shared" si="2"/>
        <v>124156.23724293373</v>
      </c>
      <c r="R7" s="49">
        <f t="shared" si="2"/>
        <v>120734.1858019475</v>
      </c>
      <c r="S7" s="49">
        <f t="shared" si="2"/>
        <v>114697.47651185012</v>
      </c>
      <c r="T7" s="49">
        <f t="shared" si="2"/>
        <v>117046.25168057233</v>
      </c>
      <c r="U7" s="49">
        <f t="shared" si="2"/>
        <v>110543.68214276276</v>
      </c>
      <c r="V7" s="49">
        <f t="shared" si="2"/>
        <v>104041.11260495319</v>
      </c>
      <c r="W7" s="49">
        <f t="shared" si="2"/>
        <v>97538.543067143619</v>
      </c>
      <c r="X7" s="49">
        <f t="shared" si="2"/>
        <v>91035.973529334049</v>
      </c>
      <c r="Y7" s="49">
        <f t="shared" si="2"/>
        <v>84533.403991524479</v>
      </c>
      <c r="Z7" s="49">
        <f t="shared" si="2"/>
        <v>78030.83445371491</v>
      </c>
      <c r="AA7" s="49">
        <f t="shared" si="2"/>
        <v>71528.26491590534</v>
      </c>
      <c r="AB7" s="49">
        <f t="shared" si="2"/>
        <v>65025.695378095756</v>
      </c>
      <c r="AC7" s="49">
        <f t="shared" si="2"/>
        <v>58523.125840286171</v>
      </c>
      <c r="AD7" s="49">
        <f t="shared" si="2"/>
        <v>52020.556302476587</v>
      </c>
      <c r="AE7" s="49">
        <f t="shared" si="2"/>
        <v>45517.986764667003</v>
      </c>
      <c r="AF7" s="49">
        <f t="shared" si="2"/>
        <v>39015.417226857418</v>
      </c>
      <c r="AG7" s="49">
        <f t="shared" si="2"/>
        <v>54048.676864305569</v>
      </c>
      <c r="AH7" s="49">
        <f t="shared" si="2"/>
        <v>43238.94149144445</v>
      </c>
      <c r="AI7" s="49">
        <f t="shared" si="2"/>
        <v>32429.20611858333</v>
      </c>
      <c r="AJ7" s="49">
        <f t="shared" si="2"/>
        <v>21619.47074572221</v>
      </c>
      <c r="AK7" s="49">
        <f t="shared" si="2"/>
        <v>10809.735372861091</v>
      </c>
      <c r="AL7" s="49">
        <f t="shared" si="2"/>
        <v>0</v>
      </c>
    </row>
    <row r="8" spans="2:38" ht="18" customHeight="1">
      <c r="B8" s="133" t="s">
        <v>336</v>
      </c>
      <c r="C8" s="64">
        <f t="shared" si="0"/>
        <v>7124991.981489812</v>
      </c>
      <c r="D8" s="49">
        <f>QDF!E4+QDF!E5+QDF!E8</f>
        <v>72192.175904472373</v>
      </c>
      <c r="E8" s="49">
        <f>QDF!F4+QDF!F5+QDF!F8+D8</f>
        <v>197225.95781591814</v>
      </c>
      <c r="F8" s="49">
        <f>QDF!G4+QDF!G5+QDF!G8+E8</f>
        <v>197225.95781591814</v>
      </c>
      <c r="G8" s="49">
        <f>QDF!H4+QDF!H5+QDF!H8+F8</f>
        <v>197225.95781591814</v>
      </c>
      <c r="H8" s="49">
        <f>QDF!I4+QDF!I5+QDF!I8+G8</f>
        <v>197225.95781591814</v>
      </c>
      <c r="I8" s="49">
        <f>QDF!J4+QDF!J5+QDF!J8+H8</f>
        <v>197225.95781591814</v>
      </c>
      <c r="J8" s="49">
        <f>QDF!K4+QDF!K5+QDF!K8+I8</f>
        <v>197225.95781591814</v>
      </c>
      <c r="K8" s="49">
        <f>QDF!L4+QDF!L5+QDF!L8+J8</f>
        <v>197225.95781591814</v>
      </c>
      <c r="L8" s="49">
        <f>QDF!M4+QDF!M5+QDF!M8+K8</f>
        <v>197225.95781591814</v>
      </c>
      <c r="M8" s="49">
        <f>QDF!N4+QDF!N5+QDF!N8+L8</f>
        <v>197225.95781591814</v>
      </c>
      <c r="N8" s="49">
        <f>QDF!O4+QDF!O5+QDF!O8+M8</f>
        <v>197225.95781591814</v>
      </c>
      <c r="O8" s="49">
        <f>QDF!P4+QDF!P5+QDF!P8+N8</f>
        <v>197225.95781591814</v>
      </c>
      <c r="P8" s="49">
        <f>QDF!Q4+QDF!Q5+QDF!Q8+O8</f>
        <v>197225.95781591814</v>
      </c>
      <c r="Q8" s="49">
        <f>QDF!R4+QDF!R5+QDF!R8+P8</f>
        <v>197225.95781591814</v>
      </c>
      <c r="R8" s="49">
        <f>QDF!S4+QDF!S5+QDF!S8+Q8</f>
        <v>199716.10814840495</v>
      </c>
      <c r="S8" s="49">
        <f>QDF!T4+QDF!T5+QDF!T8+R8</f>
        <v>199716.10814840495</v>
      </c>
      <c r="T8" s="49">
        <f>QDF!U4+QDF!U5+QDF!U8+S8</f>
        <v>208101.59260722453</v>
      </c>
      <c r="U8" s="49">
        <f>QDF!V4+QDF!V5+QDF!V8+T8</f>
        <v>208101.59260722453</v>
      </c>
      <c r="V8" s="49">
        <f>QDF!W4+QDF!W5+QDF!W8+U8</f>
        <v>208101.59260722453</v>
      </c>
      <c r="W8" s="49">
        <f>QDF!X4+QDF!X5+QDF!X8+V8</f>
        <v>208101.59260722453</v>
      </c>
      <c r="X8" s="49">
        <f>QDF!Y4+QDF!Y5+QDF!Y8+W8</f>
        <v>208101.59260722453</v>
      </c>
      <c r="Y8" s="49">
        <f>QDF!Z4+QDF!Z5+QDF!Z8+X8</f>
        <v>208101.59260722453</v>
      </c>
      <c r="Z8" s="49">
        <f>QDF!AA4+QDF!AA5+QDF!AA8+Y8</f>
        <v>208101.59260722453</v>
      </c>
      <c r="AA8" s="49">
        <f>QDF!AB4+QDF!AB5+QDF!AB8+Z8</f>
        <v>208101.59260722453</v>
      </c>
      <c r="AB8" s="49">
        <f>QDF!AC4+QDF!AC5+QDF!AC8+AA8</f>
        <v>208101.59260722453</v>
      </c>
      <c r="AC8" s="49">
        <f>QDF!AD4+QDF!AD5+QDF!AD8+AB8</f>
        <v>208101.59260722453</v>
      </c>
      <c r="AD8" s="49">
        <f>QDF!AE4+QDF!AE5+QDF!AE8+AC8</f>
        <v>208101.59260722453</v>
      </c>
      <c r="AE8" s="49">
        <f>QDF!AF4+QDF!AF5+QDF!AF8+AD8</f>
        <v>208101.59260722453</v>
      </c>
      <c r="AF8" s="49">
        <f>QDF!AG4+QDF!AG5+QDF!AG8+AE8</f>
        <v>208101.59260722453</v>
      </c>
      <c r="AG8" s="49">
        <f>QDF!AH4+QDF!AH5+QDF!AH8+AF8</f>
        <v>229637.42178248227</v>
      </c>
      <c r="AH8" s="49">
        <f>QDF!AI4+QDF!AI5+QDF!AI8+AG8</f>
        <v>229637.42178248227</v>
      </c>
      <c r="AI8" s="49">
        <f>QDF!AJ4+QDF!AJ5+QDF!AJ8+AH8</f>
        <v>229637.42178248227</v>
      </c>
      <c r="AJ8" s="49">
        <f>QDF!AK4+QDF!AK5+QDF!AK8+AI8</f>
        <v>229637.42178248227</v>
      </c>
      <c r="AK8" s="49">
        <f>QDF!AL4+QDF!AL5+QDF!AL8+AJ8</f>
        <v>229637.42178248227</v>
      </c>
      <c r="AL8" s="49">
        <f>QDF!AM4+QDF!AM5+QDF!AM8+AK8</f>
        <v>235922.32487526577</v>
      </c>
    </row>
    <row r="9" spans="2:38" ht="18" customHeight="1">
      <c r="B9" s="133" t="s">
        <v>337</v>
      </c>
      <c r="C9" s="64">
        <f t="shared" si="0"/>
        <v>-3565638.4422912989</v>
      </c>
      <c r="D9" s="49">
        <f>-QDF!E12-QDF!E13-QDF!E16</f>
        <v>0</v>
      </c>
      <c r="E9" s="49">
        <f>-QDF!F12-QDF!F13-QDF!F16+D9</f>
        <v>-2123.2992913080111</v>
      </c>
      <c r="F9" s="49">
        <f>-QDF!G12-QDF!G13-QDF!G16+E9</f>
        <v>-8035.501064781045</v>
      </c>
      <c r="G9" s="49">
        <f>-QDF!H12-QDF!H13-QDF!H16+F9</f>
        <v>-13947.702838254079</v>
      </c>
      <c r="H9" s="49">
        <f>-QDF!I12-QDF!I13-QDF!I16+G9</f>
        <v>-19859.904611727114</v>
      </c>
      <c r="I9" s="49">
        <f>-QDF!J12-QDF!J13-QDF!J16+H9</f>
        <v>-25772.106385200146</v>
      </c>
      <c r="J9" s="49">
        <f>-QDF!K12-QDF!K13-QDF!K16+I9</f>
        <v>-31684.308158673179</v>
      </c>
      <c r="K9" s="49">
        <f>-QDF!L12-QDF!L13-QDF!L16+J9</f>
        <v>-37596.509932146211</v>
      </c>
      <c r="L9" s="49">
        <f>-QDF!M12-QDF!M13-QDF!M16+K9</f>
        <v>-43508.711705619244</v>
      </c>
      <c r="M9" s="49">
        <f>-QDF!N12-QDF!N13-QDF!N16+L9</f>
        <v>-49420.913479092276</v>
      </c>
      <c r="N9" s="49">
        <f>-QDF!O12-QDF!O13-QDF!O16+M9</f>
        <v>-55333.115252565309</v>
      </c>
      <c r="O9" s="49">
        <f>-QDF!P12-QDF!P13-QDF!P16+N9</f>
        <v>-61245.317026038341</v>
      </c>
      <c r="P9" s="49">
        <f>-QDF!Q12-QDF!Q13-QDF!Q16+O9</f>
        <v>-67157.518799511381</v>
      </c>
      <c r="Q9" s="49">
        <f>-QDF!R12-QDF!R13-QDF!R16+P9</f>
        <v>-73069.720572984414</v>
      </c>
      <c r="R9" s="49">
        <f>-QDF!S12-QDF!S13-QDF!S16+Q9</f>
        <v>-78981.922346457446</v>
      </c>
      <c r="S9" s="49">
        <f>-QDF!T12-QDF!T13-QDF!T16+R9</f>
        <v>-85018.631636554826</v>
      </c>
      <c r="T9" s="49">
        <f>-QDF!U12-QDF!U13-QDF!U16+S9</f>
        <v>-91055.340926652207</v>
      </c>
      <c r="U9" s="49">
        <f>-QDF!V12-QDF!V13-QDF!V16+T9</f>
        <v>-97557.910464461776</v>
      </c>
      <c r="V9" s="49">
        <f>-QDF!W12-QDF!W13-QDF!W16+U9</f>
        <v>-104060.48000227135</v>
      </c>
      <c r="W9" s="49">
        <f>-QDF!X12-QDF!X13-QDF!X16+V9</f>
        <v>-110563.04954008092</v>
      </c>
      <c r="X9" s="49">
        <f>-QDF!Y12-QDF!Y13-QDF!Y16+W9</f>
        <v>-117065.61907789049</v>
      </c>
      <c r="Y9" s="49">
        <f>-QDF!Z12-QDF!Z13-QDF!Z16+X9</f>
        <v>-123568.18861570006</v>
      </c>
      <c r="Z9" s="49">
        <f>-QDF!AA12-QDF!AA13-QDF!AA16+Y9</f>
        <v>-130070.75815350963</v>
      </c>
      <c r="AA9" s="49">
        <f>-QDF!AB12-QDF!AB13-QDF!AB16+Z9</f>
        <v>-136573.32769131919</v>
      </c>
      <c r="AB9" s="49">
        <f>-QDF!AC12-QDF!AC13-QDF!AC16+AA9</f>
        <v>-143075.89722912878</v>
      </c>
      <c r="AC9" s="49">
        <f>-QDF!AD12-QDF!AD13-QDF!AD16+AB9</f>
        <v>-149578.46676693836</v>
      </c>
      <c r="AD9" s="49">
        <f>-QDF!AE12-QDF!AE13-QDF!AE16+AC9</f>
        <v>-156081.03630474795</v>
      </c>
      <c r="AE9" s="49">
        <f>-QDF!AF12-QDF!AF13-QDF!AF16+AD9</f>
        <v>-162583.60584255753</v>
      </c>
      <c r="AF9" s="49">
        <f>-QDF!AG12-QDF!AG13-QDF!AG16+AE9</f>
        <v>-169086.17538036712</v>
      </c>
      <c r="AG9" s="49">
        <f>-QDF!AH12-QDF!AH13-QDF!AH16+AF9</f>
        <v>-175588.7449181767</v>
      </c>
      <c r="AH9" s="49">
        <f>-QDF!AI12-QDF!AI13-QDF!AI16+AG9</f>
        <v>-186398.48029103782</v>
      </c>
      <c r="AI9" s="49">
        <f>-QDF!AJ12-QDF!AJ13-QDF!AJ16+AH9</f>
        <v>-197208.21566389894</v>
      </c>
      <c r="AJ9" s="49">
        <f>-QDF!AK12-QDF!AK13-QDF!AK16+AI9</f>
        <v>-208017.95103676006</v>
      </c>
      <c r="AK9" s="49">
        <f>-QDF!AL12-QDF!AL13-QDF!AL16+AJ9</f>
        <v>-218827.68640962118</v>
      </c>
      <c r="AL9" s="49">
        <f>-QDF!AM12-QDF!AM13-QDF!AM16+AK9</f>
        <v>-235922.3248752658</v>
      </c>
    </row>
    <row r="10" spans="2:38" ht="18" customHeight="1">
      <c r="B10" s="133" t="s">
        <v>338</v>
      </c>
      <c r="C10" s="64">
        <f t="shared" si="0"/>
        <v>198987.45609210627</v>
      </c>
      <c r="D10" s="49">
        <f>D11+D12</f>
        <v>10486.870018646208</v>
      </c>
      <c r="E10" s="49">
        <f t="shared" ref="E10:AL10" si="3">E11+E12</f>
        <v>15804.01844039487</v>
      </c>
      <c r="F10" s="49">
        <f t="shared" si="3"/>
        <v>13661.137079572844</v>
      </c>
      <c r="G10" s="49">
        <f t="shared" si="3"/>
        <v>10037.78547109839</v>
      </c>
      <c r="H10" s="49">
        <f t="shared" si="3"/>
        <v>6136.3070187664398</v>
      </c>
      <c r="I10" s="49">
        <f t="shared" si="3"/>
        <v>3535.8806567252832</v>
      </c>
      <c r="J10" s="49">
        <f t="shared" si="3"/>
        <v>2618.3989444642393</v>
      </c>
      <c r="K10" s="49">
        <f t="shared" si="3"/>
        <v>1814.2096912897687</v>
      </c>
      <c r="L10" s="49">
        <f t="shared" si="3"/>
        <v>2165.6996884497639</v>
      </c>
      <c r="M10" s="49">
        <f t="shared" si="3"/>
        <v>1832.188158781446</v>
      </c>
      <c r="N10" s="49">
        <f t="shared" si="3"/>
        <v>3745.6975904849605</v>
      </c>
      <c r="O10" s="49">
        <f t="shared" si="3"/>
        <v>2668.2844938572271</v>
      </c>
      <c r="P10" s="49">
        <f t="shared" si="3"/>
        <v>2283.1752058169914</v>
      </c>
      <c r="Q10" s="49">
        <f t="shared" si="3"/>
        <v>11920.900087157621</v>
      </c>
      <c r="R10" s="49">
        <f t="shared" si="3"/>
        <v>10018.49230732051</v>
      </c>
      <c r="S10" s="49">
        <f t="shared" si="3"/>
        <v>8451.599911233403</v>
      </c>
      <c r="T10" s="49">
        <f t="shared" si="3"/>
        <v>7095.0723978537644</v>
      </c>
      <c r="U10" s="49">
        <f t="shared" si="3"/>
        <v>3712.7472127274959</v>
      </c>
      <c r="V10" s="49">
        <f t="shared" si="3"/>
        <v>3218.4531230758366</v>
      </c>
      <c r="W10" s="49">
        <f t="shared" si="3"/>
        <v>2015.044281777693</v>
      </c>
      <c r="X10" s="49">
        <f t="shared" si="3"/>
        <v>3915.9014315733002</v>
      </c>
      <c r="Y10" s="49">
        <f t="shared" si="3"/>
        <v>3470.513206200987</v>
      </c>
      <c r="Z10" s="49">
        <f t="shared" si="3"/>
        <v>2447.2928101920043</v>
      </c>
      <c r="AA10" s="49">
        <f t="shared" si="3"/>
        <v>13851.47967971622</v>
      </c>
      <c r="AB10" s="49">
        <f t="shared" si="3"/>
        <v>10858.84165132443</v>
      </c>
      <c r="AC10" s="49">
        <f t="shared" si="3"/>
        <v>8196.3707696513884</v>
      </c>
      <c r="AD10" s="49">
        <f t="shared" si="3"/>
        <v>5453.1202815720899</v>
      </c>
      <c r="AE10" s="49">
        <f t="shared" si="3"/>
        <v>2748.7205625552888</v>
      </c>
      <c r="AF10" s="49">
        <f t="shared" si="3"/>
        <v>3439.7843739154487</v>
      </c>
      <c r="AG10" s="49">
        <f t="shared" si="3"/>
        <v>3035.2333899377118</v>
      </c>
      <c r="AH10" s="49">
        <f t="shared" si="3"/>
        <v>6317.2121951092849</v>
      </c>
      <c r="AI10" s="49">
        <f t="shared" si="3"/>
        <v>4412.0347224770376</v>
      </c>
      <c r="AJ10" s="49">
        <f t="shared" si="3"/>
        <v>2719.4592287510459</v>
      </c>
      <c r="AK10" s="49">
        <f t="shared" si="3"/>
        <v>4899.5300096352585</v>
      </c>
      <c r="AL10" s="49">
        <f t="shared" si="3"/>
        <v>0</v>
      </c>
    </row>
    <row r="11" spans="2:38" ht="18" customHeight="1">
      <c r="B11" s="133" t="s">
        <v>339</v>
      </c>
      <c r="C11" s="64">
        <f t="shared" si="0"/>
        <v>1632442.7388295745</v>
      </c>
      <c r="D11" s="49">
        <f>QDF!E7+QDF!E6</f>
        <v>11582.778512336274</v>
      </c>
      <c r="E11" s="49">
        <f>QDF!F7+QDF!F6+D11</f>
        <v>19808.291376306213</v>
      </c>
      <c r="F11" s="49">
        <f>QDF!G7+QDF!G6+E11</f>
        <v>21454.991972128872</v>
      </c>
      <c r="G11" s="49">
        <f>QDF!H7+QDF!H6+F11</f>
        <v>21822.659091853871</v>
      </c>
      <c r="H11" s="49">
        <f>QDF!I7+QDF!I6+G11</f>
        <v>21963.000189453873</v>
      </c>
      <c r="I11" s="49">
        <f>QDF!J7+QDF!J6+H11</f>
        <v>22477.964337453872</v>
      </c>
      <c r="J11" s="49">
        <f>QDF!K7+QDF!K6+I11</f>
        <v>23275.265721766373</v>
      </c>
      <c r="K11" s="49">
        <f>QDF!L7+QDF!L6+J11</f>
        <v>23592.798521766374</v>
      </c>
      <c r="L11" s="49">
        <f>QDF!M7+QDF!M6+K11</f>
        <v>24925.664776811296</v>
      </c>
      <c r="M11" s="49">
        <f>QDF!N7+QDF!N6+L11</f>
        <v>25425.363165873798</v>
      </c>
      <c r="N11" s="49">
        <f>QDF!O7+QDF!O6+M11</f>
        <v>28263.680512748797</v>
      </c>
      <c r="O11" s="49">
        <f>QDF!P7+QDF!P6+N11</f>
        <v>28263.680512748797</v>
      </c>
      <c r="P11" s="49">
        <f>QDF!Q7+QDF!Q6+O11</f>
        <v>28909.036501811297</v>
      </c>
      <c r="Q11" s="49">
        <f>QDF!R7+QDF!R6+P11</f>
        <v>40650.909670528097</v>
      </c>
      <c r="R11" s="49">
        <f>QDF!S7+QDF!S6+Q11</f>
        <v>41976.100070528097</v>
      </c>
      <c r="S11" s="49">
        <f>QDF!T7+QDF!T6+R11</f>
        <v>43597.681459590596</v>
      </c>
      <c r="T11" s="49">
        <f>QDF!U7+QDF!U6+S11</f>
        <v>45497.984432911398</v>
      </c>
      <c r="U11" s="49">
        <f>QDF!V7+QDF!V6+T11</f>
        <v>45497.984432911398</v>
      </c>
      <c r="V11" s="49">
        <f>QDF!W7+QDF!W6+U11</f>
        <v>47330.549077018819</v>
      </c>
      <c r="W11" s="49">
        <f>QDF!X7+QDF!X6+V11</f>
        <v>47330.549077018819</v>
      </c>
      <c r="X11" s="49">
        <f>QDF!Y7+QDF!Y6+W11</f>
        <v>50452.314423893818</v>
      </c>
      <c r="Y11" s="49">
        <f>QDF!Z7+QDF!Z6+X11</f>
        <v>51269.545612956317</v>
      </c>
      <c r="Z11" s="49">
        <f>QDF!AA7+QDF!AA6+Y11</f>
        <v>51415.203212956316</v>
      </c>
      <c r="AA11" s="49">
        <f>QDF!AB7+QDF!AB6+Z11</f>
        <v>65197.841169759049</v>
      </c>
      <c r="AB11" s="49">
        <f>QDF!AC7+QDF!AC6+AA11</f>
        <v>65843.197158821553</v>
      </c>
      <c r="AC11" s="49">
        <f>QDF!AD7+QDF!AD6+AB11</f>
        <v>66651.955158821555</v>
      </c>
      <c r="AD11" s="49">
        <f>QDF!AE7+QDF!AE6+AC11</f>
        <v>67113.015758821552</v>
      </c>
      <c r="AE11" s="49">
        <f>QDF!AF7+QDF!AF6+AD11</f>
        <v>67612.714147884049</v>
      </c>
      <c r="AF11" s="49">
        <f>QDF!AG7+QDF!AG6+AE11</f>
        <v>70448.605484178974</v>
      </c>
      <c r="AG11" s="49">
        <f>QDF!AH7+QDF!AH6+AF11</f>
        <v>71094.234684178969</v>
      </c>
      <c r="AH11" s="49">
        <f>QDF!AI7+QDF!AI6+AG11</f>
        <v>75876.959008202408</v>
      </c>
      <c r="AI11" s="49">
        <f>QDF!AJ7+QDF!AJ6+AH11</f>
        <v>75876.959008202408</v>
      </c>
      <c r="AJ11" s="49">
        <f>QDF!AK7+QDF!AK6+AI11</f>
        <v>76022.616608202414</v>
      </c>
      <c r="AK11" s="49">
        <f>QDF!AL7+QDF!AL6+AJ11</f>
        <v>81593.431241314131</v>
      </c>
      <c r="AL11" s="49">
        <f>QDF!AM7+QDF!AM6+AK11</f>
        <v>82327.21273781413</v>
      </c>
    </row>
    <row r="12" spans="2:38" ht="18" customHeight="1">
      <c r="B12" s="133" t="s">
        <v>340</v>
      </c>
      <c r="C12" s="64">
        <f t="shared" si="0"/>
        <v>-1433455.2827374684</v>
      </c>
      <c r="D12" s="49">
        <f>-QDF!E14-QDF!E15</f>
        <v>-1095.9084936900663</v>
      </c>
      <c r="E12" s="49">
        <f>-QDF!F14-QDF!F15+D12</f>
        <v>-4004.2729359113428</v>
      </c>
      <c r="F12" s="49">
        <f>-QDF!G14-QDF!G15+E12</f>
        <v>-7793.854892556029</v>
      </c>
      <c r="G12" s="49">
        <f>-QDF!H14-QDF!H15+F12</f>
        <v>-11784.873620755481</v>
      </c>
      <c r="H12" s="49">
        <f>-QDF!I14-QDF!I15+G12</f>
        <v>-15826.693170687433</v>
      </c>
      <c r="I12" s="49">
        <f>-QDF!J14-QDF!J15+H12</f>
        <v>-18942.083680728589</v>
      </c>
      <c r="J12" s="49">
        <f>-QDF!K14-QDF!K15+I12</f>
        <v>-20656.866777302133</v>
      </c>
      <c r="K12" s="49">
        <f>-QDF!L14-QDF!L15+J12</f>
        <v>-21778.588830476605</v>
      </c>
      <c r="L12" s="49">
        <f>-QDF!M14-QDF!M15+K12</f>
        <v>-22759.965088361532</v>
      </c>
      <c r="M12" s="49">
        <f>-QDF!N14-QDF!N15+L12</f>
        <v>-23593.175007092352</v>
      </c>
      <c r="N12" s="49">
        <f>-QDF!O14-QDF!O15+M12</f>
        <v>-24517.982922263836</v>
      </c>
      <c r="O12" s="49">
        <f>-QDF!P14-QDF!P15+N12</f>
        <v>-25595.39601889157</v>
      </c>
      <c r="P12" s="49">
        <f>-QDF!Q14-QDF!Q15+O12</f>
        <v>-26625.861295994306</v>
      </c>
      <c r="Q12" s="49">
        <f>-QDF!R14-QDF!R15+P12</f>
        <v>-28730.009583370476</v>
      </c>
      <c r="R12" s="49">
        <f>-QDF!S14-QDF!S15+Q12</f>
        <v>-31957.607763207587</v>
      </c>
      <c r="S12" s="49">
        <f>-QDF!T14-QDF!T15+R12</f>
        <v>-35146.081548357193</v>
      </c>
      <c r="T12" s="49">
        <f>-QDF!U14-QDF!U15+S12</f>
        <v>-38402.912035057634</v>
      </c>
      <c r="U12" s="49">
        <f>-QDF!V14-QDF!V15+T12</f>
        <v>-41785.237220183903</v>
      </c>
      <c r="V12" s="49">
        <f>-QDF!W14-QDF!W15+U12</f>
        <v>-44112.095953942982</v>
      </c>
      <c r="W12" s="49">
        <f>-QDF!X14-QDF!X15+V12</f>
        <v>-45315.504795241126</v>
      </c>
      <c r="X12" s="49">
        <f>-QDF!Y14-QDF!Y15+W12</f>
        <v>-46536.412992320518</v>
      </c>
      <c r="Y12" s="49">
        <f>-QDF!Z14-QDF!Z15+X12</f>
        <v>-47799.03240675533</v>
      </c>
      <c r="Z12" s="49">
        <f>-QDF!AA14-QDF!AA15+Y12</f>
        <v>-48967.910402764312</v>
      </c>
      <c r="AA12" s="49">
        <f>-QDF!AB14-QDF!AB15+Z12</f>
        <v>-51346.361490042829</v>
      </c>
      <c r="AB12" s="49">
        <f>-QDF!AC14-QDF!AC15+AA12</f>
        <v>-54984.355507497123</v>
      </c>
      <c r="AC12" s="49">
        <f>-QDF!AD14-QDF!AD15+AB12</f>
        <v>-58455.584389170166</v>
      </c>
      <c r="AD12" s="49">
        <f>-QDF!AE14-QDF!AE15+AC12</f>
        <v>-61659.895477249462</v>
      </c>
      <c r="AE12" s="49">
        <f>-QDF!AF14-QDF!AF15+AD12</f>
        <v>-64863.993585328761</v>
      </c>
      <c r="AF12" s="49">
        <f>-QDF!AG14-QDF!AG15+AE12</f>
        <v>-67008.821110263525</v>
      </c>
      <c r="AG12" s="49">
        <f>-QDF!AH14-QDF!AH15+AF12</f>
        <v>-68059.001294241258</v>
      </c>
      <c r="AH12" s="49">
        <f>-QDF!AI14-QDF!AI15+AG12</f>
        <v>-69559.746813093123</v>
      </c>
      <c r="AI12" s="49">
        <f>-QDF!AJ14-QDF!AJ15+AH12</f>
        <v>-71464.92428572537</v>
      </c>
      <c r="AJ12" s="49">
        <f>-QDF!AK14-QDF!AK15+AI12</f>
        <v>-73303.157379451368</v>
      </c>
      <c r="AK12" s="49">
        <f>-QDF!AL14-QDF!AL15+AJ12</f>
        <v>-76693.901231678872</v>
      </c>
      <c r="AL12" s="49">
        <f>-QDF!AM14-QDF!AM15+AK12</f>
        <v>-82327.212737814116</v>
      </c>
    </row>
    <row r="13" spans="2:38" ht="24.95" customHeight="1">
      <c r="B13" s="132" t="s">
        <v>341</v>
      </c>
      <c r="C13" s="41">
        <f t="shared" si="0"/>
        <v>24562375.382635571</v>
      </c>
      <c r="D13" s="41">
        <f>D14+D16+D15</f>
        <v>87372.410812897782</v>
      </c>
      <c r="E13" s="41">
        <f t="shared" ref="E13:AL13" si="4">E14+E16+E15</f>
        <v>223391.89456005808</v>
      </c>
      <c r="F13" s="41">
        <f t="shared" si="4"/>
        <v>225342.58154588021</v>
      </c>
      <c r="G13" s="41">
        <f t="shared" si="4"/>
        <v>234239.56948557173</v>
      </c>
      <c r="H13" s="41">
        <f t="shared" si="4"/>
        <v>246632.99653166794</v>
      </c>
      <c r="I13" s="41">
        <f t="shared" si="4"/>
        <v>261883.76098399729</v>
      </c>
      <c r="J13" s="41">
        <f t="shared" si="4"/>
        <v>278516.73600102874</v>
      </c>
      <c r="K13" s="41">
        <f t="shared" si="4"/>
        <v>297320.88195173745</v>
      </c>
      <c r="L13" s="41">
        <f t="shared" si="4"/>
        <v>319394.19585604349</v>
      </c>
      <c r="M13" s="41">
        <f t="shared" si="4"/>
        <v>346246.19155735895</v>
      </c>
      <c r="N13" s="41">
        <f t="shared" si="4"/>
        <v>378189.48749551852</v>
      </c>
      <c r="O13" s="41">
        <f t="shared" si="4"/>
        <v>404840.23187669227</v>
      </c>
      <c r="P13" s="41">
        <f t="shared" si="4"/>
        <v>433377.28969487344</v>
      </c>
      <c r="Q13" s="41">
        <f t="shared" si="4"/>
        <v>463063.62089780869</v>
      </c>
      <c r="R13" s="41">
        <f t="shared" si="4"/>
        <v>491522.36315619806</v>
      </c>
      <c r="S13" s="41">
        <f t="shared" si="4"/>
        <v>521605.01023724966</v>
      </c>
      <c r="T13" s="41">
        <f t="shared" si="4"/>
        <v>555068.74146020936</v>
      </c>
      <c r="U13" s="41">
        <f t="shared" si="4"/>
        <v>590463.92798771244</v>
      </c>
      <c r="V13" s="41">
        <f t="shared" si="4"/>
        <v>630772.98445610132</v>
      </c>
      <c r="W13" s="41">
        <f t="shared" si="4"/>
        <v>674015.88697277335</v>
      </c>
      <c r="X13" s="41">
        <f t="shared" si="4"/>
        <v>718886.87239158561</v>
      </c>
      <c r="Y13" s="41">
        <f t="shared" si="4"/>
        <v>766081.02721759211</v>
      </c>
      <c r="Z13" s="41">
        <f t="shared" si="4"/>
        <v>815675.50015162549</v>
      </c>
      <c r="AA13" s="41">
        <f t="shared" si="4"/>
        <v>866877.0687865325</v>
      </c>
      <c r="AB13" s="41">
        <f t="shared" si="4"/>
        <v>920740.58163528156</v>
      </c>
      <c r="AC13" s="41">
        <f t="shared" si="4"/>
        <v>977583.93575497065</v>
      </c>
      <c r="AD13" s="41">
        <f t="shared" si="4"/>
        <v>1039034.1190496676</v>
      </c>
      <c r="AE13" s="41">
        <f t="shared" si="4"/>
        <v>1102908.1006886773</v>
      </c>
      <c r="AF13" s="41">
        <f t="shared" si="4"/>
        <v>1169826.8885326779</v>
      </c>
      <c r="AG13" s="41">
        <f t="shared" si="4"/>
        <v>1240424.3429525683</v>
      </c>
      <c r="AH13" s="41">
        <f t="shared" si="4"/>
        <v>1309577.4218337047</v>
      </c>
      <c r="AI13" s="41">
        <f t="shared" si="4"/>
        <v>1380654.0360791564</v>
      </c>
      <c r="AJ13" s="41">
        <f t="shared" si="4"/>
        <v>1455099.4426848444</v>
      </c>
      <c r="AK13" s="41">
        <f t="shared" si="4"/>
        <v>1531075.4037350537</v>
      </c>
      <c r="AL13" s="41">
        <f t="shared" si="4"/>
        <v>1604669.8776202553</v>
      </c>
    </row>
    <row r="14" spans="2:38" ht="18" customHeight="1">
      <c r="B14" s="133" t="s">
        <v>342</v>
      </c>
      <c r="C14" s="64">
        <f t="shared" si="0"/>
        <v>0</v>
      </c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/>
      <c r="AH14" s="49"/>
      <c r="AI14" s="49"/>
      <c r="AJ14" s="49"/>
      <c r="AK14" s="49"/>
      <c r="AL14" s="49"/>
    </row>
    <row r="15" spans="2:38" ht="18" customHeight="1">
      <c r="B15" s="133" t="s">
        <v>343</v>
      </c>
      <c r="C15" s="64">
        <f t="shared" si="0"/>
        <v>1738.2449174318556</v>
      </c>
      <c r="D15" s="49">
        <f>-QDJ!D35</f>
        <v>0</v>
      </c>
      <c r="E15" s="49">
        <f>-QDJ!E35+D15</f>
        <v>0</v>
      </c>
      <c r="F15" s="49">
        <f>-QDJ!F35+E15</f>
        <v>0</v>
      </c>
      <c r="G15" s="49">
        <f>-QDJ!G35+F15</f>
        <v>0</v>
      </c>
      <c r="H15" s="49">
        <f>-QDJ!H35+G15</f>
        <v>0</v>
      </c>
      <c r="I15" s="49">
        <f>-QDJ!I35+H15</f>
        <v>0</v>
      </c>
      <c r="J15" s="49">
        <f>-QDJ!J35+I15</f>
        <v>0</v>
      </c>
      <c r="K15" s="49">
        <f>-QDJ!K35+J15</f>
        <v>0</v>
      </c>
      <c r="L15" s="49">
        <f>-QDJ!L35+K15</f>
        <v>0</v>
      </c>
      <c r="M15" s="49">
        <f>-QDJ!M35+L15</f>
        <v>0</v>
      </c>
      <c r="N15" s="49">
        <f>-QDJ!N35+M15</f>
        <v>0</v>
      </c>
      <c r="O15" s="49">
        <f>-QDJ!O35+N15</f>
        <v>0</v>
      </c>
      <c r="P15" s="49">
        <f>-QDJ!P35+O15</f>
        <v>0</v>
      </c>
      <c r="Q15" s="49">
        <f>-QDJ!Q35+P15</f>
        <v>0</v>
      </c>
      <c r="R15" s="49">
        <f>-QDJ!R35+Q15</f>
        <v>25.399533391365587</v>
      </c>
      <c r="S15" s="49">
        <f>-QDJ!S35+R15</f>
        <v>24.129556721797091</v>
      </c>
      <c r="T15" s="49">
        <f>-QDJ!T35+S15</f>
        <v>108.39152153218862</v>
      </c>
      <c r="U15" s="49">
        <f>-QDJ!U35+T15</f>
        <v>102.36977033595603</v>
      </c>
      <c r="V15" s="49">
        <f>-QDJ!V35+U15</f>
        <v>96.348019139723448</v>
      </c>
      <c r="W15" s="49">
        <f>-QDJ!W35+V15</f>
        <v>90.326267943490862</v>
      </c>
      <c r="X15" s="49">
        <f>-QDJ!X35+W15</f>
        <v>84.304516747258276</v>
      </c>
      <c r="Y15" s="49">
        <f>-QDJ!Y35+X15</f>
        <v>78.28276555102569</v>
      </c>
      <c r="Z15" s="49">
        <f>-QDJ!Z35+Y15</f>
        <v>72.261014354793105</v>
      </c>
      <c r="AA15" s="49">
        <f>-QDJ!AA35+Z15</f>
        <v>66.239263158560519</v>
      </c>
      <c r="AB15" s="49">
        <f>-QDJ!AB35+AA15</f>
        <v>60.21751196232794</v>
      </c>
      <c r="AC15" s="49">
        <f>-QDJ!AC35+AB15</f>
        <v>54.195760766095361</v>
      </c>
      <c r="AD15" s="49">
        <f>-QDJ!AD35+AC15</f>
        <v>48.174009569862783</v>
      </c>
      <c r="AE15" s="49">
        <f>-QDJ!AE35+AD15</f>
        <v>42.152258373630204</v>
      </c>
      <c r="AF15" s="49">
        <f>-QDJ!AF35+AE15</f>
        <v>36.130507177397625</v>
      </c>
      <c r="AG15" s="49">
        <f>-QDJ!AG35+AF15</f>
        <v>249.77421356879361</v>
      </c>
      <c r="AH15" s="49">
        <f>-QDJ!AH35+AG15</f>
        <v>199.81937085503495</v>
      </c>
      <c r="AI15" s="49">
        <f>-QDJ!AI35+AH15</f>
        <v>149.86452814127628</v>
      </c>
      <c r="AJ15" s="49">
        <f>-QDJ!AJ35+AI15</f>
        <v>99.909685427517616</v>
      </c>
      <c r="AK15" s="49">
        <f>-QDJ!AK35+AJ15</f>
        <v>49.95484271375895</v>
      </c>
      <c r="AL15" s="49">
        <f>-QDJ!AL35+AK15</f>
        <v>9.0238927441532724E-13</v>
      </c>
    </row>
    <row r="16" spans="2:38" ht="18" customHeight="1">
      <c r="B16" s="133" t="s">
        <v>344</v>
      </c>
      <c r="C16" s="64">
        <f t="shared" si="0"/>
        <v>24560637.137718137</v>
      </c>
      <c r="D16" s="49">
        <f>D17+D18+D19</f>
        <v>87372.410812897782</v>
      </c>
      <c r="E16" s="49">
        <f t="shared" ref="E16:AL16" si="5">E17+E18+E19</f>
        <v>223391.89456005808</v>
      </c>
      <c r="F16" s="49">
        <f t="shared" si="5"/>
        <v>225342.58154588021</v>
      </c>
      <c r="G16" s="49">
        <f t="shared" si="5"/>
        <v>234239.56948557173</v>
      </c>
      <c r="H16" s="49">
        <f t="shared" si="5"/>
        <v>246632.99653166794</v>
      </c>
      <c r="I16" s="49">
        <f t="shared" si="5"/>
        <v>261883.76098399729</v>
      </c>
      <c r="J16" s="49">
        <f t="shared" si="5"/>
        <v>278516.73600102874</v>
      </c>
      <c r="K16" s="49">
        <f t="shared" si="5"/>
        <v>297320.88195173745</v>
      </c>
      <c r="L16" s="49">
        <f t="shared" si="5"/>
        <v>319394.19585604349</v>
      </c>
      <c r="M16" s="49">
        <f t="shared" si="5"/>
        <v>346246.19155735895</v>
      </c>
      <c r="N16" s="49">
        <f t="shared" si="5"/>
        <v>378189.48749551852</v>
      </c>
      <c r="O16" s="49">
        <f t="shared" si="5"/>
        <v>404840.23187669227</v>
      </c>
      <c r="P16" s="49">
        <f t="shared" si="5"/>
        <v>433377.28969487344</v>
      </c>
      <c r="Q16" s="49">
        <f t="shared" si="5"/>
        <v>463063.62089780869</v>
      </c>
      <c r="R16" s="49">
        <f t="shared" si="5"/>
        <v>491496.96362280671</v>
      </c>
      <c r="S16" s="49">
        <f t="shared" si="5"/>
        <v>521580.88068052789</v>
      </c>
      <c r="T16" s="49">
        <f t="shared" si="5"/>
        <v>554960.34993867716</v>
      </c>
      <c r="U16" s="49">
        <f t="shared" si="5"/>
        <v>590361.55821737647</v>
      </c>
      <c r="V16" s="49">
        <f t="shared" si="5"/>
        <v>630676.63643696159</v>
      </c>
      <c r="W16" s="49">
        <f t="shared" si="5"/>
        <v>673925.56070482987</v>
      </c>
      <c r="X16" s="49">
        <f t="shared" si="5"/>
        <v>718802.56787483837</v>
      </c>
      <c r="Y16" s="49">
        <f t="shared" si="5"/>
        <v>766002.74445204111</v>
      </c>
      <c r="Z16" s="49">
        <f t="shared" si="5"/>
        <v>815603.23913727072</v>
      </c>
      <c r="AA16" s="49">
        <f t="shared" si="5"/>
        <v>866810.82952337398</v>
      </c>
      <c r="AB16" s="49">
        <f t="shared" si="5"/>
        <v>920680.36412331928</v>
      </c>
      <c r="AC16" s="49">
        <f t="shared" si="5"/>
        <v>977529.7399942046</v>
      </c>
      <c r="AD16" s="49">
        <f t="shared" si="5"/>
        <v>1038985.9450400977</v>
      </c>
      <c r="AE16" s="49">
        <f t="shared" si="5"/>
        <v>1102865.9484303037</v>
      </c>
      <c r="AF16" s="49">
        <f t="shared" si="5"/>
        <v>1169790.7580255005</v>
      </c>
      <c r="AG16" s="49">
        <f t="shared" si="5"/>
        <v>1240174.5687389995</v>
      </c>
      <c r="AH16" s="49">
        <f t="shared" si="5"/>
        <v>1309377.6024628496</v>
      </c>
      <c r="AI16" s="49">
        <f t="shared" si="5"/>
        <v>1380504.1715510152</v>
      </c>
      <c r="AJ16" s="49">
        <f t="shared" si="5"/>
        <v>1454999.5329994168</v>
      </c>
      <c r="AK16" s="49">
        <f t="shared" si="5"/>
        <v>1531025.4488923401</v>
      </c>
      <c r="AL16" s="49">
        <f t="shared" si="5"/>
        <v>1604669.8776202553</v>
      </c>
    </row>
    <row r="17" spans="2:38" ht="18" customHeight="1">
      <c r="B17" s="133" t="s">
        <v>345</v>
      </c>
      <c r="C17" s="64">
        <f t="shared" si="0"/>
        <v>8515890.8810020182</v>
      </c>
      <c r="D17" s="49">
        <f>-QDL!D26</f>
        <v>96483.060304822095</v>
      </c>
      <c r="E17" s="49">
        <f>-QDL!E26+D17</f>
        <v>247629.64178521151</v>
      </c>
      <c r="F17" s="49">
        <f t="shared" ref="F17:AL17" si="6">E17</f>
        <v>247629.64178521151</v>
      </c>
      <c r="G17" s="49">
        <f t="shared" si="6"/>
        <v>247629.64178521151</v>
      </c>
      <c r="H17" s="49">
        <f t="shared" si="6"/>
        <v>247629.64178521151</v>
      </c>
      <c r="I17" s="49">
        <f t="shared" si="6"/>
        <v>247629.64178521151</v>
      </c>
      <c r="J17" s="49">
        <f t="shared" si="6"/>
        <v>247629.64178521151</v>
      </c>
      <c r="K17" s="49">
        <f t="shared" si="6"/>
        <v>247629.64178521151</v>
      </c>
      <c r="L17" s="49">
        <f t="shared" si="6"/>
        <v>247629.64178521151</v>
      </c>
      <c r="M17" s="49">
        <f t="shared" si="6"/>
        <v>247629.64178521151</v>
      </c>
      <c r="N17" s="49">
        <f t="shared" si="6"/>
        <v>247629.64178521151</v>
      </c>
      <c r="O17" s="49">
        <f t="shared" si="6"/>
        <v>247629.64178521151</v>
      </c>
      <c r="P17" s="49">
        <f t="shared" si="6"/>
        <v>247629.64178521151</v>
      </c>
      <c r="Q17" s="49">
        <f t="shared" si="6"/>
        <v>247629.64178521151</v>
      </c>
      <c r="R17" s="49">
        <f t="shared" si="6"/>
        <v>247629.64178521151</v>
      </c>
      <c r="S17" s="49">
        <f t="shared" si="6"/>
        <v>247629.64178521151</v>
      </c>
      <c r="T17" s="49">
        <f t="shared" si="6"/>
        <v>247629.64178521151</v>
      </c>
      <c r="U17" s="49">
        <f t="shared" si="6"/>
        <v>247629.64178521151</v>
      </c>
      <c r="V17" s="49">
        <f t="shared" si="6"/>
        <v>247629.64178521151</v>
      </c>
      <c r="W17" s="49">
        <f t="shared" si="6"/>
        <v>247629.64178521151</v>
      </c>
      <c r="X17" s="49">
        <f t="shared" si="6"/>
        <v>247629.64178521151</v>
      </c>
      <c r="Y17" s="49">
        <f t="shared" si="6"/>
        <v>247629.64178521151</v>
      </c>
      <c r="Z17" s="49">
        <f t="shared" si="6"/>
        <v>247629.64178521151</v>
      </c>
      <c r="AA17" s="49">
        <f t="shared" si="6"/>
        <v>247629.64178521151</v>
      </c>
      <c r="AB17" s="49">
        <f t="shared" si="6"/>
        <v>247629.64178521151</v>
      </c>
      <c r="AC17" s="49">
        <f t="shared" si="6"/>
        <v>247629.64178521151</v>
      </c>
      <c r="AD17" s="49">
        <f t="shared" si="6"/>
        <v>247629.64178521151</v>
      </c>
      <c r="AE17" s="49">
        <f t="shared" si="6"/>
        <v>247629.64178521151</v>
      </c>
      <c r="AF17" s="49">
        <f t="shared" si="6"/>
        <v>247629.64178521151</v>
      </c>
      <c r="AG17" s="49">
        <f t="shared" si="6"/>
        <v>247629.64178521151</v>
      </c>
      <c r="AH17" s="49">
        <f t="shared" si="6"/>
        <v>247629.64178521151</v>
      </c>
      <c r="AI17" s="49">
        <f t="shared" si="6"/>
        <v>247629.64178521151</v>
      </c>
      <c r="AJ17" s="49">
        <f t="shared" si="6"/>
        <v>247629.64178521151</v>
      </c>
      <c r="AK17" s="49">
        <f t="shared" si="6"/>
        <v>247629.64178521151</v>
      </c>
      <c r="AL17" s="49">
        <f t="shared" si="6"/>
        <v>247629.64178521151</v>
      </c>
    </row>
    <row r="18" spans="2:38" ht="18" customHeight="1">
      <c r="B18" s="133" t="s">
        <v>347</v>
      </c>
      <c r="C18" s="64">
        <f t="shared" si="0"/>
        <v>793635.46362107561</v>
      </c>
      <c r="D18" s="49">
        <f>-QDJ!D33-QDL!D20</f>
        <v>0</v>
      </c>
      <c r="E18" s="49">
        <f>-QDJ!E33-QDL!E20+D18</f>
        <v>0</v>
      </c>
      <c r="F18" s="49">
        <f>-QDJ!F33-QDL!F20+E18</f>
        <v>323.57367063400125</v>
      </c>
      <c r="G18" s="49">
        <f>-QDJ!G33-QDL!G20+F18</f>
        <v>1799.3773573126957</v>
      </c>
      <c r="H18" s="49">
        <f>-QDJ!H33-QDL!H20+G18</f>
        <v>3855.1590948168068</v>
      </c>
      <c r="I18" s="49">
        <f>-QDJ!I33-QDL!I20+H18</f>
        <v>6384.9067527861262</v>
      </c>
      <c r="J18" s="49">
        <f>-QDJ!J33-QDL!J20+I18</f>
        <v>9143.9310447107782</v>
      </c>
      <c r="K18" s="49">
        <f>-QDJ!K33-QDL!K20+J18</f>
        <v>12263.10217397525</v>
      </c>
      <c r="L18" s="49">
        <f>-QDJ!L33-QDL!L20+K18</f>
        <v>15924.552347675302</v>
      </c>
      <c r="M18" s="49">
        <f>-QDJ!M33-QDL!M20+L18</f>
        <v>21817.820746050311</v>
      </c>
      <c r="N18" s="49">
        <f>-QDJ!N33-QDL!N20+M18</f>
        <v>28884.921617324551</v>
      </c>
      <c r="O18" s="49">
        <f>-QDJ!O33-QDL!O20+N18</f>
        <v>28884.921617324551</v>
      </c>
      <c r="P18" s="49">
        <f>-QDJ!P33-QDL!P20+O18</f>
        <v>28884.921617324551</v>
      </c>
      <c r="Q18" s="49">
        <f>-QDJ!Q33-QDL!Q20+P18</f>
        <v>28884.921617324551</v>
      </c>
      <c r="R18" s="49">
        <f>-QDJ!R33-QDL!R20+Q18</f>
        <v>28884.921617324551</v>
      </c>
      <c r="S18" s="49">
        <f>-QDJ!S33-QDL!S20+R18</f>
        <v>28884.921617324551</v>
      </c>
      <c r="T18" s="49">
        <f>-QDJ!T33-QDL!T20+S18</f>
        <v>28884.921617324551</v>
      </c>
      <c r="U18" s="49">
        <f>-QDJ!U33-QDL!U20+T18</f>
        <v>28884.921617324555</v>
      </c>
      <c r="V18" s="49">
        <f>-QDJ!V33-QDL!V20+U18</f>
        <v>28884.921617324559</v>
      </c>
      <c r="W18" s="49">
        <f>-QDJ!W33-QDL!W20+V18</f>
        <v>28884.921617324562</v>
      </c>
      <c r="X18" s="49">
        <f>-QDJ!X33-QDL!X20+W18</f>
        <v>28884.921617324562</v>
      </c>
      <c r="Y18" s="49">
        <f>-QDJ!Y33-QDL!Y20+X18</f>
        <v>28884.921617324562</v>
      </c>
      <c r="Z18" s="49">
        <f>-QDJ!Z33-QDL!Z20+Y18</f>
        <v>28884.921617324566</v>
      </c>
      <c r="AA18" s="49">
        <f>-QDJ!AA33-QDL!AA20+Z18</f>
        <v>28884.92161732457</v>
      </c>
      <c r="AB18" s="49">
        <f>-QDJ!AB33-QDL!AB20+AA18</f>
        <v>28884.921617324573</v>
      </c>
      <c r="AC18" s="49">
        <f>-QDJ!AC33-QDL!AC20+AB18</f>
        <v>28884.921617324577</v>
      </c>
      <c r="AD18" s="49">
        <f>-QDJ!AD33-QDL!AD20+AC18</f>
        <v>28884.92161732458</v>
      </c>
      <c r="AE18" s="49">
        <f>-QDJ!AE33-QDL!AE20+AD18</f>
        <v>28884.92161732458</v>
      </c>
      <c r="AF18" s="49">
        <f>-QDJ!AF33-QDL!AF20+AE18</f>
        <v>28884.92161732458</v>
      </c>
      <c r="AG18" s="49">
        <f>-QDJ!AG33-QDL!AG20+AF18</f>
        <v>28884.921617324588</v>
      </c>
      <c r="AH18" s="49">
        <f>-QDJ!AH33-QDL!AH20+AG18</f>
        <v>28884.921617324588</v>
      </c>
      <c r="AI18" s="49">
        <f>-QDJ!AI33-QDL!AI20+AH18</f>
        <v>28884.921617324595</v>
      </c>
      <c r="AJ18" s="49">
        <f>-QDJ!AJ33-QDL!AJ20+AI18</f>
        <v>28884.921617324595</v>
      </c>
      <c r="AK18" s="49">
        <f>-QDJ!AK33-QDL!AK20+AJ18</f>
        <v>28884.921617324602</v>
      </c>
      <c r="AL18" s="49">
        <f>-QDJ!AL33-QDL!AL20+AK18</f>
        <v>28884.92161732461</v>
      </c>
    </row>
    <row r="19" spans="2:38" ht="18" customHeight="1">
      <c r="B19" s="133" t="s">
        <v>348</v>
      </c>
      <c r="C19" s="64">
        <f t="shared" si="0"/>
        <v>15251110.793095052</v>
      </c>
      <c r="D19" s="49">
        <f>QDJ!D26</f>
        <v>-9110.6494919243196</v>
      </c>
      <c r="E19" s="49">
        <f>QDJ!E26+D19</f>
        <v>-24237.747225153442</v>
      </c>
      <c r="F19" s="49">
        <f>QDJ!F26+E19</f>
        <v>-22610.633909965323</v>
      </c>
      <c r="G19" s="49">
        <f>QDJ!G26+F19</f>
        <v>-15189.449656952462</v>
      </c>
      <c r="H19" s="49">
        <f>QDJ!H26+G19</f>
        <v>-4851.8043483603633</v>
      </c>
      <c r="I19" s="49">
        <f>QDJ!I26+H19</f>
        <v>7869.2124459996394</v>
      </c>
      <c r="J19" s="49">
        <f>QDJ!J26+I19</f>
        <v>21743.163171106462</v>
      </c>
      <c r="K19" s="49">
        <f>QDJ!K26+J19</f>
        <v>37428.137992550663</v>
      </c>
      <c r="L19" s="49">
        <f>QDJ!L26+K19</f>
        <v>55840.001723156631</v>
      </c>
      <c r="M19" s="49">
        <f>QDJ!M26+L19</f>
        <v>76798.729026097077</v>
      </c>
      <c r="N19" s="49">
        <f>QDJ!N26+M19</f>
        <v>101674.9240929824</v>
      </c>
      <c r="O19" s="49">
        <f>QDJ!O26+N19</f>
        <v>128325.66847415616</v>
      </c>
      <c r="P19" s="49">
        <f>QDJ!P26+O19</f>
        <v>156862.72629233735</v>
      </c>
      <c r="Q19" s="49">
        <f>QDJ!Q26+P19</f>
        <v>186549.05749527257</v>
      </c>
      <c r="R19" s="49">
        <f>QDJ!R26+Q19</f>
        <v>214982.40022027062</v>
      </c>
      <c r="S19" s="49">
        <f>QDJ!S26+R19</f>
        <v>245066.31727799177</v>
      </c>
      <c r="T19" s="49">
        <f>QDJ!T26+S19</f>
        <v>278445.78653614101</v>
      </c>
      <c r="U19" s="49">
        <f>QDJ!U26+T19</f>
        <v>313846.99481484032</v>
      </c>
      <c r="V19" s="49">
        <f>QDJ!V26+U19</f>
        <v>354162.0730344255</v>
      </c>
      <c r="W19" s="49">
        <f>QDJ!W26+V19</f>
        <v>397410.99730229378</v>
      </c>
      <c r="X19" s="49">
        <f>QDJ!X26+W19</f>
        <v>442288.00447230227</v>
      </c>
      <c r="Y19" s="49">
        <f>QDJ!Y26+X19</f>
        <v>489488.18104950502</v>
      </c>
      <c r="Z19" s="49">
        <f>QDJ!Z26+Y19</f>
        <v>539088.67573473463</v>
      </c>
      <c r="AA19" s="49">
        <f>QDJ!AA26+Z19</f>
        <v>590296.26612083788</v>
      </c>
      <c r="AB19" s="49">
        <f>QDJ!AB26+AA19</f>
        <v>644165.80072078318</v>
      </c>
      <c r="AC19" s="49">
        <f>QDJ!AC26+AB19</f>
        <v>701015.17659166851</v>
      </c>
      <c r="AD19" s="49">
        <f>QDJ!AD26+AC19</f>
        <v>762471.3816375616</v>
      </c>
      <c r="AE19" s="49">
        <f>QDJ!AE26+AD19</f>
        <v>826351.38502776762</v>
      </c>
      <c r="AF19" s="49">
        <f>QDJ!AF26+AE19</f>
        <v>893276.19462296437</v>
      </c>
      <c r="AG19" s="49">
        <f>QDJ!AG26+AF19</f>
        <v>963660.00533646345</v>
      </c>
      <c r="AH19" s="49">
        <f>QDJ!AH26+AG19</f>
        <v>1032863.0390603135</v>
      </c>
      <c r="AI19" s="49">
        <f>QDJ!AI26+AH19</f>
        <v>1103989.6081484791</v>
      </c>
      <c r="AJ19" s="49">
        <f>QDJ!AJ26+AI19</f>
        <v>1178484.9695968807</v>
      </c>
      <c r="AK19" s="49">
        <f>QDJ!AK26+AJ19</f>
        <v>1254510.885489804</v>
      </c>
      <c r="AL19" s="49">
        <f>QDJ!AL26+AK19</f>
        <v>1328155.3142177192</v>
      </c>
    </row>
    <row r="21" spans="2:38">
      <c r="B21" s="134" t="s">
        <v>349</v>
      </c>
      <c r="C21" s="135">
        <f>IF(ROUND(C4-C13,0)=0,"ok",C4-C13)</f>
        <v>25668.341942597181</v>
      </c>
      <c r="D21" s="135" t="str">
        <f>IF(ROUND(D4-D13,0)=0,"ok",D4-D13)</f>
        <v>ok</v>
      </c>
      <c r="E21" s="135">
        <f t="shared" ref="E21:AL21" si="7">IF(ROUND(E4-E13,0)=0,"ok",E4-E13)</f>
        <v>0.8946118441526778</v>
      </c>
      <c r="F21" s="135">
        <f t="shared" si="7"/>
        <v>5.4262629084696528</v>
      </c>
      <c r="G21" s="135">
        <f t="shared" si="7"/>
        <v>50.807180087227607</v>
      </c>
      <c r="H21" s="135">
        <f t="shared" si="7"/>
        <v>96.940576416003751</v>
      </c>
      <c r="I21" s="135">
        <f t="shared" si="7"/>
        <v>160.36128522746731</v>
      </c>
      <c r="J21" s="135">
        <f t="shared" si="7"/>
        <v>253.90398420940619</v>
      </c>
      <c r="K21" s="135">
        <f t="shared" si="7"/>
        <v>346.80031170666916</v>
      </c>
      <c r="L21" s="135">
        <f t="shared" si="7"/>
        <v>445.70160433440469</v>
      </c>
      <c r="M21" s="135">
        <f t="shared" si="7"/>
        <v>573.59359463880537</v>
      </c>
      <c r="N21" s="135">
        <f t="shared" si="7"/>
        <v>708.05564287828747</v>
      </c>
      <c r="O21" s="135">
        <f t="shared" si="7"/>
        <v>851.60153287515277</v>
      </c>
      <c r="P21" s="135">
        <f t="shared" si="7"/>
        <v>964.09805893350858</v>
      </c>
      <c r="Q21" s="135">
        <f t="shared" si="7"/>
        <v>964.09805893345037</v>
      </c>
      <c r="R21" s="135">
        <f t="shared" si="7"/>
        <v>964.09805893350858</v>
      </c>
      <c r="S21" s="135">
        <f t="shared" si="7"/>
        <v>964.09805893350858</v>
      </c>
      <c r="T21" s="135">
        <f t="shared" si="7"/>
        <v>964.09805893339217</v>
      </c>
      <c r="U21" s="135">
        <f t="shared" si="7"/>
        <v>964.09805893339217</v>
      </c>
      <c r="V21" s="135">
        <f t="shared" si="7"/>
        <v>964.098058933625</v>
      </c>
      <c r="W21" s="135">
        <f t="shared" si="7"/>
        <v>964.09805893350858</v>
      </c>
      <c r="X21" s="135">
        <f t="shared" si="7"/>
        <v>964.09805893350858</v>
      </c>
      <c r="Y21" s="135">
        <f t="shared" si="7"/>
        <v>964.09805893350858</v>
      </c>
      <c r="Z21" s="135">
        <f t="shared" si="7"/>
        <v>964.09805893350858</v>
      </c>
      <c r="AA21" s="135">
        <f t="shared" si="7"/>
        <v>964.09805893350858</v>
      </c>
      <c r="AB21" s="135">
        <f t="shared" si="7"/>
        <v>964.09805893350858</v>
      </c>
      <c r="AC21" s="135">
        <f t="shared" si="7"/>
        <v>964.09805893350858</v>
      </c>
      <c r="AD21" s="135">
        <f t="shared" si="7"/>
        <v>964.09805893339217</v>
      </c>
      <c r="AE21" s="135">
        <f t="shared" si="7"/>
        <v>964.098058933625</v>
      </c>
      <c r="AF21" s="135">
        <f t="shared" si="7"/>
        <v>964.098058933625</v>
      </c>
      <c r="AG21" s="135">
        <f t="shared" si="7"/>
        <v>964.098058933625</v>
      </c>
      <c r="AH21" s="135">
        <f t="shared" si="7"/>
        <v>964.09805893339217</v>
      </c>
      <c r="AI21" s="135">
        <f t="shared" si="7"/>
        <v>964.09805893339217</v>
      </c>
      <c r="AJ21" s="135">
        <f t="shared" si="7"/>
        <v>964.098058933625</v>
      </c>
      <c r="AK21" s="135">
        <f t="shared" si="7"/>
        <v>964.09805893385783</v>
      </c>
      <c r="AL21" s="135">
        <f t="shared" si="7"/>
        <v>964.098058933625</v>
      </c>
    </row>
  </sheetData>
  <pageMargins left="0.511811024" right="0.511811024" top="0.78740157499999996" bottom="0.78740157499999996" header="0.31496062000000002" footer="0.3149606200000000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Planilha18"/>
  <dimension ref="B1:AL21"/>
  <sheetViews>
    <sheetView showGridLines="0" zoomScale="85" zoomScaleNormal="85" workbookViewId="0">
      <pane xSplit="3" ySplit="3" topLeftCell="D17" activePane="bottomRight" state="frozen"/>
      <selection activeCell="L90" sqref="L90"/>
      <selection pane="topRight" activeCell="L90" sqref="L90"/>
      <selection pane="bottomLeft" activeCell="L90" sqref="L90"/>
      <selection pane="bottomRight" activeCell="D4" sqref="D4"/>
    </sheetView>
  </sheetViews>
  <sheetFormatPr defaultColWidth="9.140625" defaultRowHeight="12.75"/>
  <cols>
    <col min="1" max="1" width="2" style="126" customWidth="1"/>
    <col min="2" max="2" width="47.85546875" style="126" customWidth="1"/>
    <col min="3" max="3" width="12.85546875" style="126" bestFit="1" customWidth="1"/>
    <col min="4" max="38" width="10.7109375" style="126" customWidth="1"/>
    <col min="39" max="16384" width="9.140625" style="126"/>
  </cols>
  <sheetData>
    <row r="1" spans="2:38" ht="39.950000000000003" customHeight="1">
      <c r="B1" s="125" t="str">
        <f>QDA!B1:O1</f>
        <v>CONCESSIONÁRIA ROTA DO ATLÂNTICO</v>
      </c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25"/>
      <c r="R1" s="125"/>
      <c r="S1" s="125"/>
      <c r="T1" s="125"/>
      <c r="U1" s="125"/>
      <c r="V1" s="125"/>
      <c r="W1" s="125"/>
      <c r="X1" s="125"/>
      <c r="Y1" s="125"/>
      <c r="Z1" s="125"/>
      <c r="AA1" s="125"/>
      <c r="AB1" s="125"/>
      <c r="AC1" s="125"/>
      <c r="AD1" s="125"/>
      <c r="AE1" s="125"/>
      <c r="AF1" s="125"/>
      <c r="AG1" s="125"/>
    </row>
    <row r="2" spans="2:38" ht="22.7" customHeight="1">
      <c r="B2" s="127" t="s">
        <v>331</v>
      </c>
      <c r="C2" s="128" t="s">
        <v>43</v>
      </c>
      <c r="AG2" s="129"/>
      <c r="AL2" s="129" t="s">
        <v>230</v>
      </c>
    </row>
    <row r="3" spans="2:38" s="131" customFormat="1" ht="30.2" customHeight="1">
      <c r="B3" s="130" t="s">
        <v>78</v>
      </c>
      <c r="C3" s="130" t="s">
        <v>4</v>
      </c>
      <c r="D3" s="130">
        <v>1</v>
      </c>
      <c r="E3" s="130">
        <v>2</v>
      </c>
      <c r="F3" s="130">
        <v>3</v>
      </c>
      <c r="G3" s="130">
        <v>4</v>
      </c>
      <c r="H3" s="130">
        <v>5</v>
      </c>
      <c r="I3" s="130">
        <v>6</v>
      </c>
      <c r="J3" s="130">
        <v>7</v>
      </c>
      <c r="K3" s="130">
        <v>8</v>
      </c>
      <c r="L3" s="130">
        <v>9</v>
      </c>
      <c r="M3" s="130">
        <v>10</v>
      </c>
      <c r="N3" s="130">
        <v>11</v>
      </c>
      <c r="O3" s="130">
        <v>12</v>
      </c>
      <c r="P3" s="130">
        <v>13</v>
      </c>
      <c r="Q3" s="130">
        <v>14</v>
      </c>
      <c r="R3" s="130">
        <v>15</v>
      </c>
      <c r="S3" s="130">
        <v>16</v>
      </c>
      <c r="T3" s="130">
        <v>17</v>
      </c>
      <c r="U3" s="130">
        <v>18</v>
      </c>
      <c r="V3" s="130">
        <v>19</v>
      </c>
      <c r="W3" s="130">
        <v>20</v>
      </c>
      <c r="X3" s="130">
        <v>21</v>
      </c>
      <c r="Y3" s="130">
        <v>22</v>
      </c>
      <c r="Z3" s="130">
        <v>23</v>
      </c>
      <c r="AA3" s="130">
        <v>24</v>
      </c>
      <c r="AB3" s="130">
        <v>25</v>
      </c>
      <c r="AC3" s="130">
        <v>26</v>
      </c>
      <c r="AD3" s="130">
        <v>27</v>
      </c>
      <c r="AE3" s="130">
        <v>28</v>
      </c>
      <c r="AF3" s="130">
        <v>29</v>
      </c>
      <c r="AG3" s="130">
        <v>30</v>
      </c>
      <c r="AH3" s="130">
        <v>31</v>
      </c>
      <c r="AI3" s="130">
        <v>32</v>
      </c>
      <c r="AJ3" s="130">
        <v>33</v>
      </c>
      <c r="AK3" s="130">
        <v>34</v>
      </c>
      <c r="AL3" s="130">
        <v>35</v>
      </c>
    </row>
    <row r="4" spans="2:38" ht="24.95" customHeight="1">
      <c r="B4" s="132" t="s">
        <v>332</v>
      </c>
      <c r="C4" s="41">
        <f t="shared" ref="C4:C19" si="0">SUM(D4:AL4)</f>
        <v>21538029.649643127</v>
      </c>
      <c r="D4" s="41">
        <f>D5+D6+D7+D10</f>
        <v>87793.780814105354</v>
      </c>
      <c r="E4" s="41">
        <f t="shared" ref="E4:AL4" si="1">E5+E6+E7+E10</f>
        <v>226452.81031833141</v>
      </c>
      <c r="F4" s="41">
        <f t="shared" si="1"/>
        <v>217036.68968404975</v>
      </c>
      <c r="G4" s="41">
        <f t="shared" si="1"/>
        <v>212618.00141645738</v>
      </c>
      <c r="H4" s="41">
        <f t="shared" si="1"/>
        <v>212632.45427824277</v>
      </c>
      <c r="I4" s="41">
        <f t="shared" si="1"/>
        <v>216100.61959047659</v>
      </c>
      <c r="J4" s="41">
        <f t="shared" si="1"/>
        <v>221907.89489832197</v>
      </c>
      <c r="K4" s="41">
        <f t="shared" si="1"/>
        <v>230843.24057075393</v>
      </c>
      <c r="L4" s="41">
        <f t="shared" si="1"/>
        <v>242646.14930951092</v>
      </c>
      <c r="M4" s="41">
        <f t="shared" si="1"/>
        <v>257943.22104029081</v>
      </c>
      <c r="N4" s="41">
        <f t="shared" si="1"/>
        <v>278616.6751664133</v>
      </c>
      <c r="O4" s="41">
        <f t="shared" si="1"/>
        <v>294709.17395217199</v>
      </c>
      <c r="P4" s="41">
        <f t="shared" si="1"/>
        <v>313486.1582120948</v>
      </c>
      <c r="Q4" s="41">
        <f t="shared" si="1"/>
        <v>334210.58789392828</v>
      </c>
      <c r="R4" s="41">
        <f t="shared" si="1"/>
        <v>354505.6006683727</v>
      </c>
      <c r="S4" s="41">
        <f t="shared" si="1"/>
        <v>388909.14987452491</v>
      </c>
      <c r="T4" s="41">
        <f t="shared" si="1"/>
        <v>426008.20147258521</v>
      </c>
      <c r="U4" s="41">
        <f t="shared" si="1"/>
        <v>465055.81351141352</v>
      </c>
      <c r="V4" s="41">
        <f t="shared" si="1"/>
        <v>507447.88085490308</v>
      </c>
      <c r="W4" s="41">
        <f t="shared" si="1"/>
        <v>553221.37249667582</v>
      </c>
      <c r="X4" s="41">
        <f t="shared" si="1"/>
        <v>601070.52529058873</v>
      </c>
      <c r="Y4" s="41">
        <f t="shared" si="1"/>
        <v>651690.42574169592</v>
      </c>
      <c r="Z4" s="41">
        <f t="shared" si="1"/>
        <v>705158.22255082987</v>
      </c>
      <c r="AA4" s="41">
        <f t="shared" si="1"/>
        <v>760680.69331083749</v>
      </c>
      <c r="AB4" s="41">
        <f t="shared" si="1"/>
        <v>818179.52653468715</v>
      </c>
      <c r="AC4" s="41">
        <f t="shared" si="1"/>
        <v>878675.30616570148</v>
      </c>
      <c r="AD4" s="41">
        <f t="shared" si="1"/>
        <v>942208.50033549895</v>
      </c>
      <c r="AE4" s="41">
        <f t="shared" si="1"/>
        <v>1008613.0710996094</v>
      </c>
      <c r="AF4" s="41">
        <f t="shared" si="1"/>
        <v>1078510.0263187108</v>
      </c>
      <c r="AG4" s="41">
        <f t="shared" si="1"/>
        <v>1152533.2263637017</v>
      </c>
      <c r="AH4" s="41">
        <f t="shared" si="1"/>
        <v>1225559.6291199387</v>
      </c>
      <c r="AI4" s="41">
        <f t="shared" si="1"/>
        <v>1300957.1454904911</v>
      </c>
      <c r="AJ4" s="41">
        <f t="shared" si="1"/>
        <v>1379037.8724712797</v>
      </c>
      <c r="AK4" s="41">
        <f t="shared" si="1"/>
        <v>1458666.2590328145</v>
      </c>
      <c r="AL4" s="41">
        <f t="shared" si="1"/>
        <v>1534343.7437931166</v>
      </c>
    </row>
    <row r="5" spans="2:38" ht="18" customHeight="1">
      <c r="B5" s="133" t="s">
        <v>333</v>
      </c>
      <c r="C5" s="64">
        <f t="shared" si="0"/>
        <v>17684279.731577154</v>
      </c>
      <c r="D5" s="49">
        <f>QDM!D31</f>
        <v>0</v>
      </c>
      <c r="E5" s="49">
        <f>QDM!E31+D5</f>
        <v>0</v>
      </c>
      <c r="F5" s="49">
        <f>QDM!F31+E5</f>
        <v>-1646.7005958226509</v>
      </c>
      <c r="G5" s="49">
        <f>QDM!G31+F5</f>
        <v>4407.052572925204</v>
      </c>
      <c r="H5" s="49">
        <f>QDM!H31+G5</f>
        <v>15743.549727794918</v>
      </c>
      <c r="I5" s="49">
        <f>QDM!I31+H5</f>
        <v>29677.925151126525</v>
      </c>
      <c r="J5" s="49">
        <f>QDM!J31+I5</f>
        <v>44570.00047896558</v>
      </c>
      <c r="K5" s="49">
        <f>QDM!K31+J5</f>
        <v>62880.093114753763</v>
      </c>
      <c r="L5" s="49">
        <f>QDM!L31+K5</f>
        <v>83271.726985508925</v>
      </c>
      <c r="M5" s="49">
        <f>QDM!M31+L5</f>
        <v>108292.95776081686</v>
      </c>
      <c r="N5" s="49">
        <f>QDM!N31+M5</f>
        <v>132978.13501257551</v>
      </c>
      <c r="O5" s="49">
        <f>QDM!O31+N5</f>
        <v>156060.24866843497</v>
      </c>
      <c r="P5" s="49">
        <f>QDM!P31+O5</f>
        <v>181134.54398987105</v>
      </c>
      <c r="Q5" s="49">
        <f>QDM!Q31+P5</f>
        <v>198133.45056383696</v>
      </c>
      <c r="R5" s="49">
        <f>QDM!R31+Q5</f>
        <v>223752.92255910466</v>
      </c>
      <c r="S5" s="49">
        <f>QDM!S31+R5</f>
        <v>265760.07345144136</v>
      </c>
      <c r="T5" s="49">
        <f>QDM!T31+S5</f>
        <v>301866.87739415909</v>
      </c>
      <c r="U5" s="49">
        <f>QDM!U31+T5</f>
        <v>350799.38415592327</v>
      </c>
      <c r="V5" s="49">
        <f>QDM!V31+U5</f>
        <v>400188.31512687408</v>
      </c>
      <c r="W5" s="49">
        <f>QDM!W31+V5</f>
        <v>453667.78514775448</v>
      </c>
      <c r="X5" s="49">
        <f>QDM!X31+W5</f>
        <v>506118.65032968135</v>
      </c>
      <c r="Y5" s="49">
        <f>QDM!Y31+X5</f>
        <v>563686.50854397041</v>
      </c>
      <c r="Z5" s="49">
        <f>QDM!Z31+Y5</f>
        <v>624680.095286923</v>
      </c>
      <c r="AA5" s="49">
        <f>QDM!AA31+Z5</f>
        <v>675300.94871521601</v>
      </c>
      <c r="AB5" s="49">
        <f>QDM!AB31+AA5</f>
        <v>742294.989505267</v>
      </c>
      <c r="AC5" s="49">
        <f>QDM!AC31+AB5</f>
        <v>811955.80955576396</v>
      </c>
      <c r="AD5" s="49">
        <f>QDM!AD31+AC5</f>
        <v>884734.82375145028</v>
      </c>
      <c r="AE5" s="49">
        <f>QDM!AE31+AD5</f>
        <v>960346.36377238715</v>
      </c>
      <c r="AF5" s="49">
        <f>QDM!AF31+AE5</f>
        <v>1036054.8247179377</v>
      </c>
      <c r="AG5" s="49">
        <f>QDM!AG31+AF5</f>
        <v>1095449.3161094585</v>
      </c>
      <c r="AH5" s="49">
        <f>QDM!AH31+AG5</f>
        <v>1176003.475433385</v>
      </c>
      <c r="AI5" s="49">
        <f>QDM!AI31+AH5</f>
        <v>1264115.9046494309</v>
      </c>
      <c r="AJ5" s="49">
        <f>QDM!AJ31+AI5</f>
        <v>1354698.9424968064</v>
      </c>
      <c r="AK5" s="49">
        <f>QDM!AK31+AJ5</f>
        <v>1442956.9936503181</v>
      </c>
      <c r="AL5" s="49">
        <f>QDM!AL31+AK5</f>
        <v>1534343.7437931166</v>
      </c>
    </row>
    <row r="6" spans="2:38" ht="18" customHeight="1">
      <c r="B6" s="133" t="s">
        <v>334</v>
      </c>
      <c r="C6" s="64">
        <f t="shared" si="0"/>
        <v>95408.922775348125</v>
      </c>
      <c r="D6" s="49">
        <f>QDK!D42</f>
        <v>5114.7348909867724</v>
      </c>
      <c r="E6" s="49">
        <f>QDK!E42</f>
        <v>15546.133353326413</v>
      </c>
      <c r="F6" s="49">
        <f>QDK!F42</f>
        <v>15831.796449162464</v>
      </c>
      <c r="G6" s="49">
        <f>QDK!G42</f>
        <v>14894.908394769724</v>
      </c>
      <c r="H6" s="49">
        <f>QDK!H42</f>
        <v>13386.544327490372</v>
      </c>
      <c r="I6" s="49">
        <f>QDK!I42</f>
        <v>11432.962351906768</v>
      </c>
      <c r="J6" s="49">
        <f>QDK!J42</f>
        <v>9177.8458176471704</v>
      </c>
      <c r="K6" s="49">
        <f>QDK!K42</f>
        <v>6519.4898809384922</v>
      </c>
      <c r="L6" s="49">
        <f>QDK!L42</f>
        <v>3491.4765252533271</v>
      </c>
      <c r="M6" s="49">
        <f>QDK!M42</f>
        <v>13.030783866626734</v>
      </c>
      <c r="N6" s="49">
        <f>QDK!N42</f>
        <v>0</v>
      </c>
      <c r="O6" s="49">
        <f>QDK!O42</f>
        <v>0</v>
      </c>
      <c r="P6" s="49">
        <f>QDK!P42</f>
        <v>0</v>
      </c>
      <c r="Q6" s="49">
        <f>QDK!Q42</f>
        <v>0</v>
      </c>
      <c r="R6" s="49">
        <f>QDK!R42</f>
        <v>0</v>
      </c>
      <c r="S6" s="49">
        <f>QDK!S42</f>
        <v>0</v>
      </c>
      <c r="T6" s="49">
        <f>QDK!T42</f>
        <v>0</v>
      </c>
      <c r="U6" s="49">
        <f>QDK!U42</f>
        <v>0</v>
      </c>
      <c r="V6" s="49">
        <f>QDK!V42</f>
        <v>0</v>
      </c>
      <c r="W6" s="49">
        <f>QDK!W42</f>
        <v>0</v>
      </c>
      <c r="X6" s="49">
        <f>QDK!X42</f>
        <v>0</v>
      </c>
      <c r="Y6" s="49">
        <f>QDK!Y42</f>
        <v>0</v>
      </c>
      <c r="Z6" s="49">
        <f>QDK!Z42</f>
        <v>0</v>
      </c>
      <c r="AA6" s="49">
        <f>QDK!AA42</f>
        <v>0</v>
      </c>
      <c r="AB6" s="49">
        <f>QDK!AB42</f>
        <v>0</v>
      </c>
      <c r="AC6" s="49">
        <f>QDK!AC42</f>
        <v>0</v>
      </c>
      <c r="AD6" s="49">
        <f>QDK!AD42</f>
        <v>0</v>
      </c>
      <c r="AE6" s="49">
        <f>QDK!AE42</f>
        <v>0</v>
      </c>
      <c r="AF6" s="49">
        <f>QDK!AF42</f>
        <v>0</v>
      </c>
      <c r="AG6" s="49">
        <f>QDK!AG42</f>
        <v>0</v>
      </c>
      <c r="AH6" s="49">
        <f>QDK!AH42</f>
        <v>0</v>
      </c>
      <c r="AI6" s="49">
        <f>QDK!AI42</f>
        <v>0</v>
      </c>
      <c r="AJ6" s="49">
        <f>QDK!AJ42</f>
        <v>0</v>
      </c>
      <c r="AK6" s="49">
        <f>QDK!AK42</f>
        <v>0</v>
      </c>
      <c r="AL6" s="49">
        <f>QDK!AL42</f>
        <v>0</v>
      </c>
    </row>
    <row r="7" spans="2:38" ht="18" customHeight="1">
      <c r="B7" s="133" t="s">
        <v>335</v>
      </c>
      <c r="C7" s="64">
        <f t="shared" si="0"/>
        <v>3559353.5391985164</v>
      </c>
      <c r="D7" s="49">
        <f>D8+D9</f>
        <v>72192.175904472373</v>
      </c>
      <c r="E7" s="49">
        <f t="shared" ref="E7:AL7" si="2">E8+E9</f>
        <v>195102.65852461013</v>
      </c>
      <c r="F7" s="49">
        <f t="shared" si="2"/>
        <v>189190.4567511371</v>
      </c>
      <c r="G7" s="49">
        <f t="shared" si="2"/>
        <v>183278.25497766407</v>
      </c>
      <c r="H7" s="49">
        <f t="shared" si="2"/>
        <v>177366.05320419103</v>
      </c>
      <c r="I7" s="49">
        <f t="shared" si="2"/>
        <v>171453.851430718</v>
      </c>
      <c r="J7" s="49">
        <f t="shared" si="2"/>
        <v>165541.64965724497</v>
      </c>
      <c r="K7" s="49">
        <f t="shared" si="2"/>
        <v>159629.44788377194</v>
      </c>
      <c r="L7" s="49">
        <f t="shared" si="2"/>
        <v>153717.2461102989</v>
      </c>
      <c r="M7" s="49">
        <f t="shared" si="2"/>
        <v>147805.04433682587</v>
      </c>
      <c r="N7" s="49">
        <f t="shared" si="2"/>
        <v>141892.84256335284</v>
      </c>
      <c r="O7" s="49">
        <f t="shared" si="2"/>
        <v>135980.64078987981</v>
      </c>
      <c r="P7" s="49">
        <f t="shared" si="2"/>
        <v>130068.43901640676</v>
      </c>
      <c r="Q7" s="49">
        <f t="shared" si="2"/>
        <v>124156.23724293373</v>
      </c>
      <c r="R7" s="49">
        <f t="shared" si="2"/>
        <v>120734.1858019475</v>
      </c>
      <c r="S7" s="49">
        <f t="shared" si="2"/>
        <v>114697.47651185012</v>
      </c>
      <c r="T7" s="49">
        <f t="shared" si="2"/>
        <v>117046.25168057233</v>
      </c>
      <c r="U7" s="49">
        <f t="shared" si="2"/>
        <v>110543.68214276276</v>
      </c>
      <c r="V7" s="49">
        <f t="shared" si="2"/>
        <v>104041.11260495319</v>
      </c>
      <c r="W7" s="49">
        <f t="shared" si="2"/>
        <v>97538.543067143619</v>
      </c>
      <c r="X7" s="49">
        <f t="shared" si="2"/>
        <v>91035.973529334049</v>
      </c>
      <c r="Y7" s="49">
        <f t="shared" si="2"/>
        <v>84533.403991524479</v>
      </c>
      <c r="Z7" s="49">
        <f t="shared" si="2"/>
        <v>78030.83445371491</v>
      </c>
      <c r="AA7" s="49">
        <f t="shared" si="2"/>
        <v>71528.26491590534</v>
      </c>
      <c r="AB7" s="49">
        <f t="shared" si="2"/>
        <v>65025.695378095756</v>
      </c>
      <c r="AC7" s="49">
        <f t="shared" si="2"/>
        <v>58523.125840286171</v>
      </c>
      <c r="AD7" s="49">
        <f t="shared" si="2"/>
        <v>52020.556302476587</v>
      </c>
      <c r="AE7" s="49">
        <f t="shared" si="2"/>
        <v>45517.986764667003</v>
      </c>
      <c r="AF7" s="49">
        <f t="shared" si="2"/>
        <v>39015.417226857418</v>
      </c>
      <c r="AG7" s="49">
        <f t="shared" si="2"/>
        <v>54048.676864305569</v>
      </c>
      <c r="AH7" s="49">
        <f t="shared" si="2"/>
        <v>43238.94149144445</v>
      </c>
      <c r="AI7" s="49">
        <f t="shared" si="2"/>
        <v>32429.20611858333</v>
      </c>
      <c r="AJ7" s="49">
        <f t="shared" si="2"/>
        <v>21619.47074572221</v>
      </c>
      <c r="AK7" s="49">
        <f t="shared" si="2"/>
        <v>10809.735372861091</v>
      </c>
      <c r="AL7" s="49">
        <f t="shared" si="2"/>
        <v>0</v>
      </c>
    </row>
    <row r="8" spans="2:38" ht="18" customHeight="1">
      <c r="B8" s="133" t="s">
        <v>336</v>
      </c>
      <c r="C8" s="64">
        <f t="shared" si="0"/>
        <v>7124991.981489812</v>
      </c>
      <c r="D8" s="49">
        <f>QDF!E4+QDF!E5+QDF!E8</f>
        <v>72192.175904472373</v>
      </c>
      <c r="E8" s="49">
        <f>QDF!F4+QDF!F5+QDF!F8+D8</f>
        <v>197225.95781591814</v>
      </c>
      <c r="F8" s="49">
        <f>QDF!G4+QDF!G5+QDF!G8+E8</f>
        <v>197225.95781591814</v>
      </c>
      <c r="G8" s="49">
        <f>QDF!H4+QDF!H5+QDF!H8+F8</f>
        <v>197225.95781591814</v>
      </c>
      <c r="H8" s="49">
        <f>QDF!I4+QDF!I5+QDF!I8+G8</f>
        <v>197225.95781591814</v>
      </c>
      <c r="I8" s="49">
        <f>QDF!J4+QDF!J5+QDF!J8+H8</f>
        <v>197225.95781591814</v>
      </c>
      <c r="J8" s="49">
        <f>QDF!K4+QDF!K5+QDF!K8+I8</f>
        <v>197225.95781591814</v>
      </c>
      <c r="K8" s="49">
        <f>QDF!L4+QDF!L5+QDF!L8+J8</f>
        <v>197225.95781591814</v>
      </c>
      <c r="L8" s="49">
        <f>QDF!M4+QDF!M5+QDF!M8+K8</f>
        <v>197225.95781591814</v>
      </c>
      <c r="M8" s="49">
        <f>QDF!N4+QDF!N5+QDF!N8+L8</f>
        <v>197225.95781591814</v>
      </c>
      <c r="N8" s="49">
        <f>QDF!O4+QDF!O5+QDF!O8+M8</f>
        <v>197225.95781591814</v>
      </c>
      <c r="O8" s="49">
        <f>QDF!P4+QDF!P5+QDF!P8+N8</f>
        <v>197225.95781591814</v>
      </c>
      <c r="P8" s="49">
        <f>QDF!Q4+QDF!Q5+QDF!Q8+O8</f>
        <v>197225.95781591814</v>
      </c>
      <c r="Q8" s="49">
        <f>QDF!R4+QDF!R5+QDF!R8+P8</f>
        <v>197225.95781591814</v>
      </c>
      <c r="R8" s="49">
        <f>QDF!S4+QDF!S5+QDF!S8+Q8</f>
        <v>199716.10814840495</v>
      </c>
      <c r="S8" s="49">
        <f>QDF!T4+QDF!T5+QDF!T8+R8</f>
        <v>199716.10814840495</v>
      </c>
      <c r="T8" s="49">
        <f>QDF!U4+QDF!U5+QDF!U8+S8</f>
        <v>208101.59260722453</v>
      </c>
      <c r="U8" s="49">
        <f>QDF!V4+QDF!V5+QDF!V8+T8</f>
        <v>208101.59260722453</v>
      </c>
      <c r="V8" s="49">
        <f>QDF!W4+QDF!W5+QDF!W8+U8</f>
        <v>208101.59260722453</v>
      </c>
      <c r="W8" s="49">
        <f>QDF!X4+QDF!X5+QDF!X8+V8</f>
        <v>208101.59260722453</v>
      </c>
      <c r="X8" s="49">
        <f>QDF!Y4+QDF!Y5+QDF!Y8+W8</f>
        <v>208101.59260722453</v>
      </c>
      <c r="Y8" s="49">
        <f>QDF!Z4+QDF!Z5+QDF!Z8+X8</f>
        <v>208101.59260722453</v>
      </c>
      <c r="Z8" s="49">
        <f>QDF!AA4+QDF!AA5+QDF!AA8+Y8</f>
        <v>208101.59260722453</v>
      </c>
      <c r="AA8" s="49">
        <f>QDF!AB4+QDF!AB5+QDF!AB8+Z8</f>
        <v>208101.59260722453</v>
      </c>
      <c r="AB8" s="49">
        <f>QDF!AC4+QDF!AC5+QDF!AC8+AA8</f>
        <v>208101.59260722453</v>
      </c>
      <c r="AC8" s="49">
        <f>QDF!AD4+QDF!AD5+QDF!AD8+AB8</f>
        <v>208101.59260722453</v>
      </c>
      <c r="AD8" s="49">
        <f>QDF!AE4+QDF!AE5+QDF!AE8+AC8</f>
        <v>208101.59260722453</v>
      </c>
      <c r="AE8" s="49">
        <f>QDF!AF4+QDF!AF5+QDF!AF8+AD8</f>
        <v>208101.59260722453</v>
      </c>
      <c r="AF8" s="49">
        <f>QDF!AG4+QDF!AG5+QDF!AG8+AE8</f>
        <v>208101.59260722453</v>
      </c>
      <c r="AG8" s="49">
        <f>QDF!AH4+QDF!AH5+QDF!AH8+AF8</f>
        <v>229637.42178248227</v>
      </c>
      <c r="AH8" s="49">
        <f>QDF!AI4+QDF!AI5+QDF!AI8+AG8</f>
        <v>229637.42178248227</v>
      </c>
      <c r="AI8" s="49">
        <f>QDF!AJ4+QDF!AJ5+QDF!AJ8+AH8</f>
        <v>229637.42178248227</v>
      </c>
      <c r="AJ8" s="49">
        <f>QDF!AK4+QDF!AK5+QDF!AK8+AI8</f>
        <v>229637.42178248227</v>
      </c>
      <c r="AK8" s="49">
        <f>QDF!AL4+QDF!AL5+QDF!AL8+AJ8</f>
        <v>229637.42178248227</v>
      </c>
      <c r="AL8" s="49">
        <f>QDF!AM4+QDF!AM5+QDF!AM8+AK8</f>
        <v>235922.32487526577</v>
      </c>
    </row>
    <row r="9" spans="2:38" ht="18" customHeight="1">
      <c r="B9" s="133" t="s">
        <v>337</v>
      </c>
      <c r="C9" s="64">
        <f t="shared" si="0"/>
        <v>-3565638.4422912989</v>
      </c>
      <c r="D9" s="49">
        <f>-QDF!E12-QDF!E13-QDF!E16</f>
        <v>0</v>
      </c>
      <c r="E9" s="49">
        <f>-QDF!F12-QDF!F13-QDF!F16+D9</f>
        <v>-2123.2992913080111</v>
      </c>
      <c r="F9" s="49">
        <f>-QDF!G12-QDF!G13-QDF!G16+E9</f>
        <v>-8035.501064781045</v>
      </c>
      <c r="G9" s="49">
        <f>-QDF!H12-QDF!H13-QDF!H16+F9</f>
        <v>-13947.702838254079</v>
      </c>
      <c r="H9" s="49">
        <f>-QDF!I12-QDF!I13-QDF!I16+G9</f>
        <v>-19859.904611727114</v>
      </c>
      <c r="I9" s="49">
        <f>-QDF!J12-QDF!J13-QDF!J16+H9</f>
        <v>-25772.106385200146</v>
      </c>
      <c r="J9" s="49">
        <f>-QDF!K12-QDF!K13-QDF!K16+I9</f>
        <v>-31684.308158673179</v>
      </c>
      <c r="K9" s="49">
        <f>-QDF!L12-QDF!L13-QDF!L16+J9</f>
        <v>-37596.509932146211</v>
      </c>
      <c r="L9" s="49">
        <f>-QDF!M12-QDF!M13-QDF!M16+K9</f>
        <v>-43508.711705619244</v>
      </c>
      <c r="M9" s="49">
        <f>-QDF!N12-QDF!N13-QDF!N16+L9</f>
        <v>-49420.913479092276</v>
      </c>
      <c r="N9" s="49">
        <f>-QDF!O12-QDF!O13-QDF!O16+M9</f>
        <v>-55333.115252565309</v>
      </c>
      <c r="O9" s="49">
        <f>-QDF!P12-QDF!P13-QDF!P16+N9</f>
        <v>-61245.317026038341</v>
      </c>
      <c r="P9" s="49">
        <f>-QDF!Q12-QDF!Q13-QDF!Q16+O9</f>
        <v>-67157.518799511381</v>
      </c>
      <c r="Q9" s="49">
        <f>-QDF!R12-QDF!R13-QDF!R16+P9</f>
        <v>-73069.720572984414</v>
      </c>
      <c r="R9" s="49">
        <f>-QDF!S12-QDF!S13-QDF!S16+Q9</f>
        <v>-78981.922346457446</v>
      </c>
      <c r="S9" s="49">
        <f>-QDF!T12-QDF!T13-QDF!T16+R9</f>
        <v>-85018.631636554826</v>
      </c>
      <c r="T9" s="49">
        <f>-QDF!U12-QDF!U13-QDF!U16+S9</f>
        <v>-91055.340926652207</v>
      </c>
      <c r="U9" s="49">
        <f>-QDF!V12-QDF!V13-QDF!V16+T9</f>
        <v>-97557.910464461776</v>
      </c>
      <c r="V9" s="49">
        <f>-QDF!W12-QDF!W13-QDF!W16+U9</f>
        <v>-104060.48000227135</v>
      </c>
      <c r="W9" s="49">
        <f>-QDF!X12-QDF!X13-QDF!X16+V9</f>
        <v>-110563.04954008092</v>
      </c>
      <c r="X9" s="49">
        <f>-QDF!Y12-QDF!Y13-QDF!Y16+W9</f>
        <v>-117065.61907789049</v>
      </c>
      <c r="Y9" s="49">
        <f>-QDF!Z12-QDF!Z13-QDF!Z16+X9</f>
        <v>-123568.18861570006</v>
      </c>
      <c r="Z9" s="49">
        <f>-QDF!AA12-QDF!AA13-QDF!AA16+Y9</f>
        <v>-130070.75815350963</v>
      </c>
      <c r="AA9" s="49">
        <f>-QDF!AB12-QDF!AB13-QDF!AB16+Z9</f>
        <v>-136573.32769131919</v>
      </c>
      <c r="AB9" s="49">
        <f>-QDF!AC12-QDF!AC13-QDF!AC16+AA9</f>
        <v>-143075.89722912878</v>
      </c>
      <c r="AC9" s="49">
        <f>-QDF!AD12-QDF!AD13-QDF!AD16+AB9</f>
        <v>-149578.46676693836</v>
      </c>
      <c r="AD9" s="49">
        <f>-QDF!AE12-QDF!AE13-QDF!AE16+AC9</f>
        <v>-156081.03630474795</v>
      </c>
      <c r="AE9" s="49">
        <f>-QDF!AF12-QDF!AF13-QDF!AF16+AD9</f>
        <v>-162583.60584255753</v>
      </c>
      <c r="AF9" s="49">
        <f>-QDF!AG12-QDF!AG13-QDF!AG16+AE9</f>
        <v>-169086.17538036712</v>
      </c>
      <c r="AG9" s="49">
        <f>-QDF!AH12-QDF!AH13-QDF!AH16+AF9</f>
        <v>-175588.7449181767</v>
      </c>
      <c r="AH9" s="49">
        <f>-QDF!AI12-QDF!AI13-QDF!AI16+AG9</f>
        <v>-186398.48029103782</v>
      </c>
      <c r="AI9" s="49">
        <f>-QDF!AJ12-QDF!AJ13-QDF!AJ16+AH9</f>
        <v>-197208.21566389894</v>
      </c>
      <c r="AJ9" s="49">
        <f>-QDF!AK12-QDF!AK13-QDF!AK16+AI9</f>
        <v>-208017.95103676006</v>
      </c>
      <c r="AK9" s="49">
        <f>-QDF!AL12-QDF!AL13-QDF!AL16+AJ9</f>
        <v>-218827.68640962118</v>
      </c>
      <c r="AL9" s="49">
        <f>-QDF!AM12-QDF!AM13-QDF!AM16+AK9</f>
        <v>-235922.3248752658</v>
      </c>
    </row>
    <row r="10" spans="2:38" ht="18" customHeight="1">
      <c r="B10" s="133" t="s">
        <v>338</v>
      </c>
      <c r="C10" s="64">
        <f t="shared" si="0"/>
        <v>198987.45609210627</v>
      </c>
      <c r="D10" s="49">
        <f>D11+D12</f>
        <v>10486.870018646208</v>
      </c>
      <c r="E10" s="49">
        <f t="shared" ref="E10:AL10" si="3">E11+E12</f>
        <v>15804.01844039487</v>
      </c>
      <c r="F10" s="49">
        <f t="shared" si="3"/>
        <v>13661.137079572844</v>
      </c>
      <c r="G10" s="49">
        <f t="shared" si="3"/>
        <v>10037.78547109839</v>
      </c>
      <c r="H10" s="49">
        <f t="shared" si="3"/>
        <v>6136.3070187664398</v>
      </c>
      <c r="I10" s="49">
        <f t="shared" si="3"/>
        <v>3535.8806567252832</v>
      </c>
      <c r="J10" s="49">
        <f t="shared" si="3"/>
        <v>2618.3989444642393</v>
      </c>
      <c r="K10" s="49">
        <f t="shared" si="3"/>
        <v>1814.2096912897687</v>
      </c>
      <c r="L10" s="49">
        <f t="shared" si="3"/>
        <v>2165.6996884497639</v>
      </c>
      <c r="M10" s="49">
        <f t="shared" si="3"/>
        <v>1832.188158781446</v>
      </c>
      <c r="N10" s="49">
        <f t="shared" si="3"/>
        <v>3745.6975904849605</v>
      </c>
      <c r="O10" s="49">
        <f t="shared" si="3"/>
        <v>2668.2844938572271</v>
      </c>
      <c r="P10" s="49">
        <f t="shared" si="3"/>
        <v>2283.1752058169914</v>
      </c>
      <c r="Q10" s="49">
        <f t="shared" si="3"/>
        <v>11920.900087157621</v>
      </c>
      <c r="R10" s="49">
        <f t="shared" si="3"/>
        <v>10018.49230732051</v>
      </c>
      <c r="S10" s="49">
        <f t="shared" si="3"/>
        <v>8451.599911233403</v>
      </c>
      <c r="T10" s="49">
        <f t="shared" si="3"/>
        <v>7095.0723978537644</v>
      </c>
      <c r="U10" s="49">
        <f t="shared" si="3"/>
        <v>3712.7472127274959</v>
      </c>
      <c r="V10" s="49">
        <f t="shared" si="3"/>
        <v>3218.4531230758366</v>
      </c>
      <c r="W10" s="49">
        <f t="shared" si="3"/>
        <v>2015.044281777693</v>
      </c>
      <c r="X10" s="49">
        <f t="shared" si="3"/>
        <v>3915.9014315733002</v>
      </c>
      <c r="Y10" s="49">
        <f t="shared" si="3"/>
        <v>3470.513206200987</v>
      </c>
      <c r="Z10" s="49">
        <f t="shared" si="3"/>
        <v>2447.2928101920043</v>
      </c>
      <c r="AA10" s="49">
        <f t="shared" si="3"/>
        <v>13851.47967971622</v>
      </c>
      <c r="AB10" s="49">
        <f t="shared" si="3"/>
        <v>10858.84165132443</v>
      </c>
      <c r="AC10" s="49">
        <f t="shared" si="3"/>
        <v>8196.3707696513884</v>
      </c>
      <c r="AD10" s="49">
        <f t="shared" si="3"/>
        <v>5453.1202815720899</v>
      </c>
      <c r="AE10" s="49">
        <f t="shared" si="3"/>
        <v>2748.7205625552888</v>
      </c>
      <c r="AF10" s="49">
        <f t="shared" si="3"/>
        <v>3439.7843739154487</v>
      </c>
      <c r="AG10" s="49">
        <f t="shared" si="3"/>
        <v>3035.2333899377118</v>
      </c>
      <c r="AH10" s="49">
        <f t="shared" si="3"/>
        <v>6317.2121951092849</v>
      </c>
      <c r="AI10" s="49">
        <f t="shared" si="3"/>
        <v>4412.0347224770376</v>
      </c>
      <c r="AJ10" s="49">
        <f t="shared" si="3"/>
        <v>2719.4592287510459</v>
      </c>
      <c r="AK10" s="49">
        <f t="shared" si="3"/>
        <v>4899.5300096352585</v>
      </c>
      <c r="AL10" s="49">
        <f t="shared" si="3"/>
        <v>0</v>
      </c>
    </row>
    <row r="11" spans="2:38" ht="18" customHeight="1">
      <c r="B11" s="133" t="s">
        <v>339</v>
      </c>
      <c r="C11" s="64">
        <f t="shared" si="0"/>
        <v>1632442.7388295745</v>
      </c>
      <c r="D11" s="49">
        <f>QDF!E7+QDF!E6</f>
        <v>11582.778512336274</v>
      </c>
      <c r="E11" s="49">
        <f>QDF!F7+QDF!F6+D11</f>
        <v>19808.291376306213</v>
      </c>
      <c r="F11" s="49">
        <f>QDF!G7+QDF!G6+E11</f>
        <v>21454.991972128872</v>
      </c>
      <c r="G11" s="49">
        <f>QDF!H7+QDF!H6+F11</f>
        <v>21822.659091853871</v>
      </c>
      <c r="H11" s="49">
        <f>QDF!I7+QDF!I6+G11</f>
        <v>21963.000189453873</v>
      </c>
      <c r="I11" s="49">
        <f>QDF!J7+QDF!J6+H11</f>
        <v>22477.964337453872</v>
      </c>
      <c r="J11" s="49">
        <f>QDF!K7+QDF!K6+I11</f>
        <v>23275.265721766373</v>
      </c>
      <c r="K11" s="49">
        <f>QDF!L7+QDF!L6+J11</f>
        <v>23592.798521766374</v>
      </c>
      <c r="L11" s="49">
        <f>QDF!M7+QDF!M6+K11</f>
        <v>24925.664776811296</v>
      </c>
      <c r="M11" s="49">
        <f>QDF!N7+QDF!N6+L11</f>
        <v>25425.363165873798</v>
      </c>
      <c r="N11" s="49">
        <f>QDF!O7+QDF!O6+M11</f>
        <v>28263.680512748797</v>
      </c>
      <c r="O11" s="49">
        <f>QDF!P7+QDF!P6+N11</f>
        <v>28263.680512748797</v>
      </c>
      <c r="P11" s="49">
        <f>QDF!Q7+QDF!Q6+O11</f>
        <v>28909.036501811297</v>
      </c>
      <c r="Q11" s="49">
        <f>QDF!R7+QDF!R6+P11</f>
        <v>40650.909670528097</v>
      </c>
      <c r="R11" s="49">
        <f>QDF!S7+QDF!S6+Q11</f>
        <v>41976.100070528097</v>
      </c>
      <c r="S11" s="49">
        <f>QDF!T7+QDF!T6+R11</f>
        <v>43597.681459590596</v>
      </c>
      <c r="T11" s="49">
        <f>QDF!U7+QDF!U6+S11</f>
        <v>45497.984432911398</v>
      </c>
      <c r="U11" s="49">
        <f>QDF!V7+QDF!V6+T11</f>
        <v>45497.984432911398</v>
      </c>
      <c r="V11" s="49">
        <f>QDF!W7+QDF!W6+U11</f>
        <v>47330.549077018819</v>
      </c>
      <c r="W11" s="49">
        <f>QDF!X7+QDF!X6+V11</f>
        <v>47330.549077018819</v>
      </c>
      <c r="X11" s="49">
        <f>QDF!Y7+QDF!Y6+W11</f>
        <v>50452.314423893818</v>
      </c>
      <c r="Y11" s="49">
        <f>QDF!Z7+QDF!Z6+X11</f>
        <v>51269.545612956317</v>
      </c>
      <c r="Z11" s="49">
        <f>QDF!AA7+QDF!AA6+Y11</f>
        <v>51415.203212956316</v>
      </c>
      <c r="AA11" s="49">
        <f>QDF!AB7+QDF!AB6+Z11</f>
        <v>65197.841169759049</v>
      </c>
      <c r="AB11" s="49">
        <f>QDF!AC7+QDF!AC6+AA11</f>
        <v>65843.197158821553</v>
      </c>
      <c r="AC11" s="49">
        <f>QDF!AD7+QDF!AD6+AB11</f>
        <v>66651.955158821555</v>
      </c>
      <c r="AD11" s="49">
        <f>QDF!AE7+QDF!AE6+AC11</f>
        <v>67113.015758821552</v>
      </c>
      <c r="AE11" s="49">
        <f>QDF!AF7+QDF!AF6+AD11</f>
        <v>67612.714147884049</v>
      </c>
      <c r="AF11" s="49">
        <f>QDF!AG7+QDF!AG6+AE11</f>
        <v>70448.605484178974</v>
      </c>
      <c r="AG11" s="49">
        <f>QDF!AH7+QDF!AH6+AF11</f>
        <v>71094.234684178969</v>
      </c>
      <c r="AH11" s="49">
        <f>QDF!AI7+QDF!AI6+AG11</f>
        <v>75876.959008202408</v>
      </c>
      <c r="AI11" s="49">
        <f>QDF!AJ7+QDF!AJ6+AH11</f>
        <v>75876.959008202408</v>
      </c>
      <c r="AJ11" s="49">
        <f>QDF!AK7+QDF!AK6+AI11</f>
        <v>76022.616608202414</v>
      </c>
      <c r="AK11" s="49">
        <f>QDF!AL7+QDF!AL6+AJ11</f>
        <v>81593.431241314131</v>
      </c>
      <c r="AL11" s="49">
        <f>QDF!AM7+QDF!AM6+AK11</f>
        <v>82327.21273781413</v>
      </c>
    </row>
    <row r="12" spans="2:38" ht="18" customHeight="1">
      <c r="B12" s="133" t="s">
        <v>340</v>
      </c>
      <c r="C12" s="64">
        <f t="shared" si="0"/>
        <v>-1433455.2827374684</v>
      </c>
      <c r="D12" s="49">
        <f>-QDF!E14-QDF!E15</f>
        <v>-1095.9084936900663</v>
      </c>
      <c r="E12" s="49">
        <f>-QDF!F14-QDF!F15+D12</f>
        <v>-4004.2729359113428</v>
      </c>
      <c r="F12" s="49">
        <f>-QDF!G14-QDF!G15+E12</f>
        <v>-7793.854892556029</v>
      </c>
      <c r="G12" s="49">
        <f>-QDF!H14-QDF!H15+F12</f>
        <v>-11784.873620755481</v>
      </c>
      <c r="H12" s="49">
        <f>-QDF!I14-QDF!I15+G12</f>
        <v>-15826.693170687433</v>
      </c>
      <c r="I12" s="49">
        <f>-QDF!J14-QDF!J15+H12</f>
        <v>-18942.083680728589</v>
      </c>
      <c r="J12" s="49">
        <f>-QDF!K14-QDF!K15+I12</f>
        <v>-20656.866777302133</v>
      </c>
      <c r="K12" s="49">
        <f>-QDF!L14-QDF!L15+J12</f>
        <v>-21778.588830476605</v>
      </c>
      <c r="L12" s="49">
        <f>-QDF!M14-QDF!M15+K12</f>
        <v>-22759.965088361532</v>
      </c>
      <c r="M12" s="49">
        <f>-QDF!N14-QDF!N15+L12</f>
        <v>-23593.175007092352</v>
      </c>
      <c r="N12" s="49">
        <f>-QDF!O14-QDF!O15+M12</f>
        <v>-24517.982922263836</v>
      </c>
      <c r="O12" s="49">
        <f>-QDF!P14-QDF!P15+N12</f>
        <v>-25595.39601889157</v>
      </c>
      <c r="P12" s="49">
        <f>-QDF!Q14-QDF!Q15+O12</f>
        <v>-26625.861295994306</v>
      </c>
      <c r="Q12" s="49">
        <f>-QDF!R14-QDF!R15+P12</f>
        <v>-28730.009583370476</v>
      </c>
      <c r="R12" s="49">
        <f>-QDF!S14-QDF!S15+Q12</f>
        <v>-31957.607763207587</v>
      </c>
      <c r="S12" s="49">
        <f>-QDF!T14-QDF!T15+R12</f>
        <v>-35146.081548357193</v>
      </c>
      <c r="T12" s="49">
        <f>-QDF!U14-QDF!U15+S12</f>
        <v>-38402.912035057634</v>
      </c>
      <c r="U12" s="49">
        <f>-QDF!V14-QDF!V15+T12</f>
        <v>-41785.237220183903</v>
      </c>
      <c r="V12" s="49">
        <f>-QDF!W14-QDF!W15+U12</f>
        <v>-44112.095953942982</v>
      </c>
      <c r="W12" s="49">
        <f>-QDF!X14-QDF!X15+V12</f>
        <v>-45315.504795241126</v>
      </c>
      <c r="X12" s="49">
        <f>-QDF!Y14-QDF!Y15+W12</f>
        <v>-46536.412992320518</v>
      </c>
      <c r="Y12" s="49">
        <f>-QDF!Z14-QDF!Z15+X12</f>
        <v>-47799.03240675533</v>
      </c>
      <c r="Z12" s="49">
        <f>-QDF!AA14-QDF!AA15+Y12</f>
        <v>-48967.910402764312</v>
      </c>
      <c r="AA12" s="49">
        <f>-QDF!AB14-QDF!AB15+Z12</f>
        <v>-51346.361490042829</v>
      </c>
      <c r="AB12" s="49">
        <f>-QDF!AC14-QDF!AC15+AA12</f>
        <v>-54984.355507497123</v>
      </c>
      <c r="AC12" s="49">
        <f>-QDF!AD14-QDF!AD15+AB12</f>
        <v>-58455.584389170166</v>
      </c>
      <c r="AD12" s="49">
        <f>-QDF!AE14-QDF!AE15+AC12</f>
        <v>-61659.895477249462</v>
      </c>
      <c r="AE12" s="49">
        <f>-QDF!AF14-QDF!AF15+AD12</f>
        <v>-64863.993585328761</v>
      </c>
      <c r="AF12" s="49">
        <f>-QDF!AG14-QDF!AG15+AE12</f>
        <v>-67008.821110263525</v>
      </c>
      <c r="AG12" s="49">
        <f>-QDF!AH14-QDF!AH15+AF12</f>
        <v>-68059.001294241258</v>
      </c>
      <c r="AH12" s="49">
        <f>-QDF!AI14-QDF!AI15+AG12</f>
        <v>-69559.746813093123</v>
      </c>
      <c r="AI12" s="49">
        <f>-QDF!AJ14-QDF!AJ15+AH12</f>
        <v>-71464.92428572537</v>
      </c>
      <c r="AJ12" s="49">
        <f>-QDF!AK14-QDF!AK15+AI12</f>
        <v>-73303.157379451368</v>
      </c>
      <c r="AK12" s="49">
        <f>-QDF!AL14-QDF!AL15+AJ12</f>
        <v>-76693.901231678872</v>
      </c>
      <c r="AL12" s="49">
        <f>-QDF!AM14-QDF!AM15+AK12</f>
        <v>-82327.212737814116</v>
      </c>
    </row>
    <row r="13" spans="2:38" ht="24.95" customHeight="1">
      <c r="B13" s="132" t="s">
        <v>341</v>
      </c>
      <c r="C13" s="41">
        <f t="shared" si="0"/>
        <v>21538029.649643123</v>
      </c>
      <c r="D13" s="41">
        <f>D14+D16+D15</f>
        <v>87793.780814105354</v>
      </c>
      <c r="E13" s="41">
        <f t="shared" ref="E13:AL13" si="4">E14+E16+E15</f>
        <v>226452.81031833141</v>
      </c>
      <c r="F13" s="41">
        <f t="shared" si="4"/>
        <v>217036.68968404975</v>
      </c>
      <c r="G13" s="41">
        <f t="shared" si="4"/>
        <v>212618.00141645735</v>
      </c>
      <c r="H13" s="41">
        <f t="shared" si="4"/>
        <v>212632.45427824275</v>
      </c>
      <c r="I13" s="41">
        <f t="shared" si="4"/>
        <v>216100.61959047656</v>
      </c>
      <c r="J13" s="41">
        <f t="shared" si="4"/>
        <v>221907.89489832195</v>
      </c>
      <c r="K13" s="41">
        <f t="shared" si="4"/>
        <v>230843.24057075393</v>
      </c>
      <c r="L13" s="41">
        <f t="shared" si="4"/>
        <v>242646.14930951089</v>
      </c>
      <c r="M13" s="41">
        <f t="shared" si="4"/>
        <v>257943.22104029072</v>
      </c>
      <c r="N13" s="41">
        <f t="shared" si="4"/>
        <v>278616.67516641319</v>
      </c>
      <c r="O13" s="41">
        <f t="shared" si="4"/>
        <v>294709.17395217193</v>
      </c>
      <c r="P13" s="41">
        <f t="shared" si="4"/>
        <v>313486.15821209474</v>
      </c>
      <c r="Q13" s="41">
        <f t="shared" si="4"/>
        <v>334210.58789392823</v>
      </c>
      <c r="R13" s="41">
        <f t="shared" si="4"/>
        <v>354505.60066837259</v>
      </c>
      <c r="S13" s="41">
        <f t="shared" si="4"/>
        <v>388909.1498745248</v>
      </c>
      <c r="T13" s="41">
        <f t="shared" si="4"/>
        <v>426008.20147258509</v>
      </c>
      <c r="U13" s="41">
        <f t="shared" si="4"/>
        <v>465055.81351141352</v>
      </c>
      <c r="V13" s="41">
        <f t="shared" si="4"/>
        <v>507447.88085490302</v>
      </c>
      <c r="W13" s="41">
        <f t="shared" si="4"/>
        <v>553221.3724966757</v>
      </c>
      <c r="X13" s="41">
        <f t="shared" si="4"/>
        <v>601070.52529058862</v>
      </c>
      <c r="Y13" s="41">
        <f t="shared" si="4"/>
        <v>651690.42574169568</v>
      </c>
      <c r="Z13" s="41">
        <f t="shared" si="4"/>
        <v>705158.22255082976</v>
      </c>
      <c r="AA13" s="41">
        <f t="shared" si="4"/>
        <v>760680.69331083738</v>
      </c>
      <c r="AB13" s="41">
        <f t="shared" si="4"/>
        <v>818179.52653468703</v>
      </c>
      <c r="AC13" s="41">
        <f t="shared" si="4"/>
        <v>878675.30616570136</v>
      </c>
      <c r="AD13" s="41">
        <f t="shared" si="4"/>
        <v>942208.50033549895</v>
      </c>
      <c r="AE13" s="41">
        <f t="shared" si="4"/>
        <v>1008613.0710996094</v>
      </c>
      <c r="AF13" s="41">
        <f t="shared" si="4"/>
        <v>1078510.0263187105</v>
      </c>
      <c r="AG13" s="41">
        <f t="shared" si="4"/>
        <v>1152533.2263637015</v>
      </c>
      <c r="AH13" s="41">
        <f t="shared" si="4"/>
        <v>1225559.6291199387</v>
      </c>
      <c r="AI13" s="41">
        <f t="shared" si="4"/>
        <v>1300957.1454904911</v>
      </c>
      <c r="AJ13" s="41">
        <f t="shared" si="4"/>
        <v>1379037.8724712797</v>
      </c>
      <c r="AK13" s="41">
        <f t="shared" si="4"/>
        <v>1458666.2590328143</v>
      </c>
      <c r="AL13" s="41">
        <f t="shared" si="4"/>
        <v>1534343.7437931169</v>
      </c>
    </row>
    <row r="14" spans="2:38" ht="18" customHeight="1">
      <c r="B14" s="133" t="s">
        <v>342</v>
      </c>
      <c r="C14" s="64">
        <f t="shared" si="0"/>
        <v>1087242.7754587077</v>
      </c>
      <c r="D14" s="49">
        <f>QDH!D22-QDH!D26</f>
        <v>23774.954416808643</v>
      </c>
      <c r="E14" s="49">
        <f>QDH!E22-QDH!E26+D14</f>
        <v>151923.97443455702</v>
      </c>
      <c r="F14" s="49">
        <f>QDH!F22-QDH!F26+E14</f>
        <v>140237.51486266803</v>
      </c>
      <c r="G14" s="49">
        <f>QDH!G22-QDH!G26+F14</f>
        <v>128551.05529077903</v>
      </c>
      <c r="H14" s="49">
        <f>QDH!H22-QDH!H26+G14</f>
        <v>116864.59571889002</v>
      </c>
      <c r="I14" s="49">
        <f>QDH!I22-QDH!I26+H14</f>
        <v>105178.13614700102</v>
      </c>
      <c r="J14" s="49">
        <f>QDH!J22-QDH!J26+I14</f>
        <v>93491.676575112011</v>
      </c>
      <c r="K14" s="49">
        <f>QDH!K22-QDH!K26+J14</f>
        <v>81805.217003223006</v>
      </c>
      <c r="L14" s="49">
        <f>QDH!L22-QDH!L26+K14</f>
        <v>70118.757431334001</v>
      </c>
      <c r="M14" s="49">
        <f>QDH!M22-QDH!M26+L14</f>
        <v>58432.297859444996</v>
      </c>
      <c r="N14" s="49">
        <f>QDH!N22-QDH!N26+M14</f>
        <v>46745.838287555991</v>
      </c>
      <c r="O14" s="49">
        <f>QDH!O22-QDH!O26+N14</f>
        <v>35059.378715666986</v>
      </c>
      <c r="P14" s="49">
        <f>QDH!P22-QDH!P26+O14</f>
        <v>23372.919143777985</v>
      </c>
      <c r="Q14" s="49">
        <f>QDH!Q22-QDH!Q26+P14</f>
        <v>11686.459571888983</v>
      </c>
      <c r="R14" s="49">
        <f>QDH!R22-QDH!R26+Q14</f>
        <v>-1.8189894035458565E-11</v>
      </c>
      <c r="S14" s="49">
        <f>QDH!S22-QDH!S26+R14</f>
        <v>-1.8189894035458565E-11</v>
      </c>
      <c r="T14" s="49">
        <f>QDH!T22-QDH!T26+S14</f>
        <v>-1.8189894035458565E-11</v>
      </c>
      <c r="U14" s="49">
        <f>QDH!U22-QDH!U26+T14</f>
        <v>-1.8189894035458565E-11</v>
      </c>
      <c r="V14" s="49">
        <f>QDH!V22-QDH!V26+U14</f>
        <v>-1.8189894035458565E-11</v>
      </c>
      <c r="W14" s="49">
        <f>QDH!W22-QDH!W26+V14</f>
        <v>-1.8189894035458565E-11</v>
      </c>
      <c r="X14" s="49">
        <f>QDH!X22-QDH!X26+W14</f>
        <v>-1.8189894035458565E-11</v>
      </c>
      <c r="Y14" s="49">
        <f>QDH!Y22-QDH!Y26+X14</f>
        <v>-1.8189894035458565E-11</v>
      </c>
      <c r="Z14" s="49">
        <f>QDH!Z22-QDH!Z26+Y14</f>
        <v>-1.8189894035458565E-11</v>
      </c>
      <c r="AA14" s="49">
        <f>QDH!AA22-QDH!AA26+Z14</f>
        <v>-1.8189894035458565E-11</v>
      </c>
      <c r="AB14" s="49">
        <f>QDH!AB22-QDH!AB26+AA14</f>
        <v>-1.8189894035458565E-11</v>
      </c>
      <c r="AC14" s="49">
        <f>QDH!AC22-QDH!AC26+AB14</f>
        <v>-1.8189894035458565E-11</v>
      </c>
      <c r="AD14" s="49">
        <f>QDH!AD22-QDH!AD26+AC14</f>
        <v>-1.8189894035458565E-11</v>
      </c>
      <c r="AE14" s="49">
        <f>QDH!AE22-QDH!AE26+AD14</f>
        <v>-1.8189894035458565E-11</v>
      </c>
      <c r="AF14" s="49">
        <f>QDH!AF22-QDH!AF26+AE14</f>
        <v>-1.8189894035458565E-11</v>
      </c>
      <c r="AG14" s="49">
        <f>QDH!AG22-QDH!AG26+AF14</f>
        <v>-1.8189894035458565E-11</v>
      </c>
      <c r="AH14" s="49">
        <f>QDH!AH22-QDH!AH26+AG14</f>
        <v>-1.8189894035458565E-11</v>
      </c>
      <c r="AI14" s="49">
        <f>QDH!AI22-QDH!AI26+AH14</f>
        <v>-1.8189894035458565E-11</v>
      </c>
      <c r="AJ14" s="49">
        <f>QDH!AJ22-QDH!AJ26+AI14</f>
        <v>-1.8189894035458565E-11</v>
      </c>
      <c r="AK14" s="49">
        <f>QDH!AK22-QDH!AK26+AJ14</f>
        <v>-1.8189894035458565E-11</v>
      </c>
      <c r="AL14" s="49">
        <f>QDH!AL22-QDH!AL26+AK14</f>
        <v>-1.8189894035458565E-11</v>
      </c>
    </row>
    <row r="15" spans="2:38" ht="18" customHeight="1">
      <c r="B15" s="133" t="s">
        <v>343</v>
      </c>
      <c r="C15" s="64">
        <f t="shared" si="0"/>
        <v>1738.2449174318556</v>
      </c>
      <c r="D15" s="49">
        <f>-QDK!D37</f>
        <v>0</v>
      </c>
      <c r="E15" s="49">
        <f>-QDK!E37+D15</f>
        <v>0</v>
      </c>
      <c r="F15" s="49">
        <f>-QDK!F37+E15</f>
        <v>0</v>
      </c>
      <c r="G15" s="49">
        <f>-QDK!G37+F15</f>
        <v>0</v>
      </c>
      <c r="H15" s="49">
        <f>-QDK!H37+G15</f>
        <v>0</v>
      </c>
      <c r="I15" s="49">
        <f>-QDK!I37+H15</f>
        <v>0</v>
      </c>
      <c r="J15" s="49">
        <f>-QDK!J37+I15</f>
        <v>0</v>
      </c>
      <c r="K15" s="49">
        <f>-QDK!K37+J15</f>
        <v>0</v>
      </c>
      <c r="L15" s="49">
        <f>-QDK!L37+K15</f>
        <v>0</v>
      </c>
      <c r="M15" s="49">
        <f>-QDK!M37+L15</f>
        <v>0</v>
      </c>
      <c r="N15" s="49">
        <f>-QDK!N37+M15</f>
        <v>0</v>
      </c>
      <c r="O15" s="49">
        <f>-QDK!O37+N15</f>
        <v>0</v>
      </c>
      <c r="P15" s="49">
        <f>-QDK!P37+O15</f>
        <v>0</v>
      </c>
      <c r="Q15" s="49">
        <f>-QDK!Q37+P15</f>
        <v>0</v>
      </c>
      <c r="R15" s="49">
        <f>-QDK!R37+Q15</f>
        <v>25.399533391365587</v>
      </c>
      <c r="S15" s="49">
        <f>-QDK!S37+R15</f>
        <v>24.129556721797091</v>
      </c>
      <c r="T15" s="49">
        <f>-QDK!T37+S15</f>
        <v>108.39152153218862</v>
      </c>
      <c r="U15" s="49">
        <f>-QDK!U37+T15</f>
        <v>102.36977033595603</v>
      </c>
      <c r="V15" s="49">
        <f>-QDK!V37+U15</f>
        <v>96.348019139723448</v>
      </c>
      <c r="W15" s="49">
        <f>-QDK!W37+V15</f>
        <v>90.326267943490862</v>
      </c>
      <c r="X15" s="49">
        <f>-QDK!X37+W15</f>
        <v>84.304516747258276</v>
      </c>
      <c r="Y15" s="49">
        <f>-QDK!Y37+X15</f>
        <v>78.28276555102569</v>
      </c>
      <c r="Z15" s="49">
        <f>-QDK!Z37+Y15</f>
        <v>72.261014354793105</v>
      </c>
      <c r="AA15" s="49">
        <f>-QDK!AA37+Z15</f>
        <v>66.239263158560519</v>
      </c>
      <c r="AB15" s="49">
        <f>-QDK!AB37+AA15</f>
        <v>60.21751196232794</v>
      </c>
      <c r="AC15" s="49">
        <f>-QDK!AC37+AB15</f>
        <v>54.195760766095361</v>
      </c>
      <c r="AD15" s="49">
        <f>-QDK!AD37+AC15</f>
        <v>48.174009569862783</v>
      </c>
      <c r="AE15" s="49">
        <f>-QDK!AE37+AD15</f>
        <v>42.152258373630204</v>
      </c>
      <c r="AF15" s="49">
        <f>-QDK!AF37+AE15</f>
        <v>36.130507177397625</v>
      </c>
      <c r="AG15" s="49">
        <f>-QDK!AG37+AF15</f>
        <v>249.77421356879361</v>
      </c>
      <c r="AH15" s="49">
        <f>-QDK!AH37+AG15</f>
        <v>199.81937085503495</v>
      </c>
      <c r="AI15" s="49">
        <f>-QDK!AI37+AH15</f>
        <v>149.86452814127628</v>
      </c>
      <c r="AJ15" s="49">
        <f>-QDK!AJ37+AI15</f>
        <v>99.909685427517616</v>
      </c>
      <c r="AK15" s="49">
        <f>-QDK!AK37+AJ15</f>
        <v>49.95484271375895</v>
      </c>
      <c r="AL15" s="49">
        <f>-QDK!AL37+AK15</f>
        <v>9.0238927441532724E-13</v>
      </c>
    </row>
    <row r="16" spans="2:38" ht="18" customHeight="1">
      <c r="B16" s="133" t="s">
        <v>344</v>
      </c>
      <c r="C16" s="64">
        <f t="shared" si="0"/>
        <v>20449048.629266985</v>
      </c>
      <c r="D16" s="49">
        <f>D17+D18+D19</f>
        <v>64018.826397296711</v>
      </c>
      <c r="E16" s="49">
        <f t="shared" ref="E16:AL16" si="5">E17+E18+E19</f>
        <v>74528.835883774387</v>
      </c>
      <c r="F16" s="49">
        <f t="shared" si="5"/>
        <v>76799.174821381719</v>
      </c>
      <c r="G16" s="49">
        <f t="shared" si="5"/>
        <v>84066.94612567834</v>
      </c>
      <c r="H16" s="49">
        <f t="shared" si="5"/>
        <v>95767.858559352724</v>
      </c>
      <c r="I16" s="49">
        <f t="shared" si="5"/>
        <v>110922.48344347553</v>
      </c>
      <c r="J16" s="49">
        <f t="shared" si="5"/>
        <v>128416.21832320992</v>
      </c>
      <c r="K16" s="49">
        <f t="shared" si="5"/>
        <v>149038.02356753091</v>
      </c>
      <c r="L16" s="49">
        <f t="shared" si="5"/>
        <v>172527.39187817689</v>
      </c>
      <c r="M16" s="49">
        <f t="shared" si="5"/>
        <v>199510.92318084574</v>
      </c>
      <c r="N16" s="49">
        <f t="shared" si="5"/>
        <v>231870.83687885723</v>
      </c>
      <c r="O16" s="49">
        <f t="shared" si="5"/>
        <v>259649.79523650493</v>
      </c>
      <c r="P16" s="49">
        <f t="shared" si="5"/>
        <v>290113.23906831676</v>
      </c>
      <c r="Q16" s="49">
        <f t="shared" si="5"/>
        <v>322524.12832203927</v>
      </c>
      <c r="R16" s="49">
        <f t="shared" si="5"/>
        <v>354480.20113498124</v>
      </c>
      <c r="S16" s="49">
        <f t="shared" si="5"/>
        <v>388885.02031780302</v>
      </c>
      <c r="T16" s="49">
        <f t="shared" si="5"/>
        <v>425899.80995105288</v>
      </c>
      <c r="U16" s="49">
        <f t="shared" si="5"/>
        <v>464953.44374107756</v>
      </c>
      <c r="V16" s="49">
        <f t="shared" si="5"/>
        <v>507351.5328357633</v>
      </c>
      <c r="W16" s="49">
        <f t="shared" si="5"/>
        <v>553131.04622873222</v>
      </c>
      <c r="X16" s="49">
        <f t="shared" si="5"/>
        <v>600986.22077384137</v>
      </c>
      <c r="Y16" s="49">
        <f t="shared" si="5"/>
        <v>651612.14297614468</v>
      </c>
      <c r="Z16" s="49">
        <f t="shared" si="5"/>
        <v>705085.96153647499</v>
      </c>
      <c r="AA16" s="49">
        <f t="shared" si="5"/>
        <v>760614.45404767885</v>
      </c>
      <c r="AB16" s="49">
        <f t="shared" si="5"/>
        <v>818119.30902272474</v>
      </c>
      <c r="AC16" s="49">
        <f t="shared" si="5"/>
        <v>878621.11040493532</v>
      </c>
      <c r="AD16" s="49">
        <f t="shared" si="5"/>
        <v>942160.32632592903</v>
      </c>
      <c r="AE16" s="49">
        <f t="shared" si="5"/>
        <v>1008570.9188412357</v>
      </c>
      <c r="AF16" s="49">
        <f t="shared" si="5"/>
        <v>1078473.8958115331</v>
      </c>
      <c r="AG16" s="49">
        <f t="shared" si="5"/>
        <v>1152283.4521501327</v>
      </c>
      <c r="AH16" s="49">
        <f t="shared" si="5"/>
        <v>1225359.8097490836</v>
      </c>
      <c r="AI16" s="49">
        <f t="shared" si="5"/>
        <v>1300807.2809623498</v>
      </c>
      <c r="AJ16" s="49">
        <f t="shared" si="5"/>
        <v>1378937.9627858521</v>
      </c>
      <c r="AK16" s="49">
        <f t="shared" si="5"/>
        <v>1458616.3041901006</v>
      </c>
      <c r="AL16" s="49">
        <f t="shared" si="5"/>
        <v>1534343.7437931169</v>
      </c>
    </row>
    <row r="17" spans="2:38" ht="18" customHeight="1">
      <c r="B17" s="133" t="s">
        <v>345</v>
      </c>
      <c r="C17" s="64">
        <f t="shared" si="0"/>
        <v>3727193.077574918</v>
      </c>
      <c r="D17" s="49">
        <f>QDC!C7</f>
        <v>73947.429420976914</v>
      </c>
      <c r="E17" s="49">
        <f>QDC!D7+D17</f>
        <v>104706.6241578786</v>
      </c>
      <c r="F17" s="49">
        <f>QDC!E7+E17</f>
        <v>107531.48557563826</v>
      </c>
      <c r="G17" s="49">
        <f>QDC!F7+F17</f>
        <v>107531.48557563826</v>
      </c>
      <c r="H17" s="49">
        <f>QDC!G7+G17</f>
        <v>107531.48557563826</v>
      </c>
      <c r="I17" s="49">
        <f>QDC!H7+H17</f>
        <v>107531.48557563826</v>
      </c>
      <c r="J17" s="49">
        <f>QDC!I7+I17</f>
        <v>107531.48557563826</v>
      </c>
      <c r="K17" s="49">
        <f>QDC!J7+J17</f>
        <v>107531.48557563826</v>
      </c>
      <c r="L17" s="49">
        <f>QDC!K7+K17</f>
        <v>107531.48557563826</v>
      </c>
      <c r="M17" s="49">
        <f>QDC!L7+L17</f>
        <v>107531.48557563826</v>
      </c>
      <c r="N17" s="49">
        <f>QDC!M7+M17</f>
        <v>107531.48557563826</v>
      </c>
      <c r="O17" s="49">
        <f>QDC!N7+N17</f>
        <v>107531.48557563826</v>
      </c>
      <c r="P17" s="49">
        <f>QDC!O7+O17</f>
        <v>107531.48557563826</v>
      </c>
      <c r="Q17" s="49">
        <f>QDC!P7+P17</f>
        <v>107531.48557563826</v>
      </c>
      <c r="R17" s="49">
        <f>QDC!Q7+Q17</f>
        <v>107531.48557563826</v>
      </c>
      <c r="S17" s="49">
        <f>QDC!R7+R17</f>
        <v>107531.48557563826</v>
      </c>
      <c r="T17" s="49">
        <f>QDC!S7+S17</f>
        <v>107531.48557563826</v>
      </c>
      <c r="U17" s="49">
        <f>QDC!T7+T17</f>
        <v>107531.48557563826</v>
      </c>
      <c r="V17" s="49">
        <f>QDC!U7+U17</f>
        <v>107531.48557563826</v>
      </c>
      <c r="W17" s="49">
        <f>QDC!V7+V17</f>
        <v>107531.48557563826</v>
      </c>
      <c r="X17" s="49">
        <f>QDC!W7+W17</f>
        <v>107531.48557563826</v>
      </c>
      <c r="Y17" s="49">
        <f>QDC!X7+X17</f>
        <v>107531.48557563826</v>
      </c>
      <c r="Z17" s="49">
        <f>QDC!Y7+Y17</f>
        <v>107531.48557563826</v>
      </c>
      <c r="AA17" s="49">
        <f>QDC!Z7+Z17</f>
        <v>107531.48557563826</v>
      </c>
      <c r="AB17" s="49">
        <f>QDC!AA7+AA17</f>
        <v>107531.48557563826</v>
      </c>
      <c r="AC17" s="49">
        <f>QDC!AB7+AB17</f>
        <v>107531.48557563826</v>
      </c>
      <c r="AD17" s="49">
        <f>QDC!AC7+AC17</f>
        <v>107531.48557563826</v>
      </c>
      <c r="AE17" s="49">
        <f>QDC!AD7+AD17</f>
        <v>107531.48557563826</v>
      </c>
      <c r="AF17" s="49">
        <f>QDC!AE7+AE17</f>
        <v>107531.48557563826</v>
      </c>
      <c r="AG17" s="49">
        <f>QDC!AF7+AF17</f>
        <v>107531.48557563826</v>
      </c>
      <c r="AH17" s="49">
        <f>QDC!AG7+AG17</f>
        <v>107531.48557563826</v>
      </c>
      <c r="AI17" s="49">
        <f>QDC!AH7+AH17</f>
        <v>107531.48557563826</v>
      </c>
      <c r="AJ17" s="49">
        <f>QDC!AI7+AI17</f>
        <v>107531.48557563826</v>
      </c>
      <c r="AK17" s="49">
        <f>QDC!AJ7+AJ17</f>
        <v>107531.48557563826</v>
      </c>
      <c r="AL17" s="49">
        <f>QDC!AK7+AK17</f>
        <v>107531.48557563826</v>
      </c>
    </row>
    <row r="18" spans="2:38" ht="18" customHeight="1">
      <c r="B18" s="133" t="s">
        <v>347</v>
      </c>
      <c r="C18" s="64">
        <f t="shared" si="0"/>
        <v>754508.86782144126</v>
      </c>
      <c r="D18" s="49">
        <f>-QDK!D35-QDM!D22</f>
        <v>0</v>
      </c>
      <c r="E18" s="49">
        <f>-QDK!E35-QDM!E22+D18</f>
        <v>0</v>
      </c>
      <c r="F18" s="49">
        <f>-QDK!F35-QDM!F22+E18</f>
        <v>0</v>
      </c>
      <c r="G18" s="49">
        <f>-QDK!G35-QDM!G22+F18</f>
        <v>1205.5544817553641</v>
      </c>
      <c r="H18" s="49">
        <f>-QDK!H35-QDM!H22+G18</f>
        <v>3146.4641271515902</v>
      </c>
      <c r="I18" s="49">
        <f>-QDK!I35-QDM!I22+H18</f>
        <v>5660.264463380493</v>
      </c>
      <c r="J18" s="49">
        <f>-QDK!J35-QDM!J22+I18</f>
        <v>8562.0688273174765</v>
      </c>
      <c r="K18" s="49">
        <f>-QDK!K35-QDM!K22+J18</f>
        <v>11982.747422347027</v>
      </c>
      <c r="L18" s="49">
        <f>-QDK!L35-QDM!L22+K18</f>
        <v>15879.088137383085</v>
      </c>
      <c r="M18" s="49">
        <f>-QDK!M35-QDM!M22+L18</f>
        <v>20355.029348726268</v>
      </c>
      <c r="N18" s="49">
        <f>-QDK!N35-QDM!N22+M18</f>
        <v>27508.70604053518</v>
      </c>
      <c r="O18" s="49">
        <f>-QDK!O35-QDM!O22+N18</f>
        <v>27508.70604053518</v>
      </c>
      <c r="P18" s="49">
        <f>-QDK!P35-QDM!P22+O18</f>
        <v>27508.70604053518</v>
      </c>
      <c r="Q18" s="49">
        <f>-QDK!Q35-QDM!Q22+P18</f>
        <v>27508.70604053518</v>
      </c>
      <c r="R18" s="49">
        <f>-QDK!R35-QDM!R22+Q18</f>
        <v>27508.706040535184</v>
      </c>
      <c r="S18" s="49">
        <f>-QDK!S35-QDM!S22+R18</f>
        <v>27508.706040535188</v>
      </c>
      <c r="T18" s="49">
        <f>-QDK!T35-QDM!T22+S18</f>
        <v>27508.706040535188</v>
      </c>
      <c r="U18" s="49">
        <f>-QDK!U35-QDM!U22+T18</f>
        <v>27508.706040535188</v>
      </c>
      <c r="V18" s="49">
        <f>-QDK!V35-QDM!V22+U18</f>
        <v>27508.706040535191</v>
      </c>
      <c r="W18" s="49">
        <f>-QDK!W35-QDM!W22+V18</f>
        <v>27508.706040535195</v>
      </c>
      <c r="X18" s="49">
        <f>-QDK!X35-QDM!X22+W18</f>
        <v>27508.706040535199</v>
      </c>
      <c r="Y18" s="49">
        <f>-QDK!Y35-QDM!Y22+X18</f>
        <v>27508.706040535199</v>
      </c>
      <c r="Z18" s="49">
        <f>-QDK!Z35-QDM!Z22+Y18</f>
        <v>27508.706040535199</v>
      </c>
      <c r="AA18" s="49">
        <f>-QDK!AA35-QDM!AA22+Z18</f>
        <v>27508.706040535199</v>
      </c>
      <c r="AB18" s="49">
        <f>-QDK!AB35-QDM!AB22+AA18</f>
        <v>27508.706040535202</v>
      </c>
      <c r="AC18" s="49">
        <f>-QDK!AC35-QDM!AC22+AB18</f>
        <v>27508.706040535206</v>
      </c>
      <c r="AD18" s="49">
        <f>-QDK!AD35-QDM!AD22+AC18</f>
        <v>27508.706040535209</v>
      </c>
      <c r="AE18" s="49">
        <f>-QDK!AE35-QDM!AE22+AD18</f>
        <v>27508.706040535209</v>
      </c>
      <c r="AF18" s="49">
        <f>-QDK!AF35-QDM!AF22+AE18</f>
        <v>27508.706040535209</v>
      </c>
      <c r="AG18" s="49">
        <f>-QDK!AG35-QDM!AG22+AF18</f>
        <v>27508.706040535217</v>
      </c>
      <c r="AH18" s="49">
        <f>-QDK!AH35-QDM!AH22+AG18</f>
        <v>27508.706040535224</v>
      </c>
      <c r="AI18" s="49">
        <f>-QDK!AI35-QDM!AI22+AH18</f>
        <v>27508.706040535224</v>
      </c>
      <c r="AJ18" s="49">
        <f>-QDK!AJ35-QDM!AJ22+AI18</f>
        <v>27508.706040535231</v>
      </c>
      <c r="AK18" s="49">
        <f>-QDK!AK35-QDM!AK22+AJ18</f>
        <v>27508.706040535239</v>
      </c>
      <c r="AL18" s="49">
        <f>-QDK!AL35-QDM!AL22+AK18</f>
        <v>27508.706040535246</v>
      </c>
    </row>
    <row r="19" spans="2:38" ht="18" customHeight="1">
      <c r="B19" s="133" t="s">
        <v>348</v>
      </c>
      <c r="C19" s="64">
        <f t="shared" si="0"/>
        <v>15967346.683870625</v>
      </c>
      <c r="D19" s="49">
        <f>QDK!D28</f>
        <v>-9928.6030236802035</v>
      </c>
      <c r="E19" s="49">
        <f>QDK!E28+D19</f>
        <v>-30177.788274104212</v>
      </c>
      <c r="F19" s="49">
        <f>QDK!F28+E19</f>
        <v>-30732.310754256545</v>
      </c>
      <c r="G19" s="49">
        <f>QDK!G28+F19</f>
        <v>-24670.093931715288</v>
      </c>
      <c r="H19" s="49">
        <f>QDK!H28+G19</f>
        <v>-14910.091143437128</v>
      </c>
      <c r="I19" s="49">
        <f>QDK!I28+H19</f>
        <v>-2269.2665955432185</v>
      </c>
      <c r="J19" s="49">
        <f>QDK!J28+I19</f>
        <v>12322.663920254181</v>
      </c>
      <c r="K19" s="49">
        <f>QDK!K28+J19</f>
        <v>29523.790569545628</v>
      </c>
      <c r="L19" s="49">
        <f>QDK!L28+K19</f>
        <v>49116.818165155521</v>
      </c>
      <c r="M19" s="49">
        <f>QDK!M28+L19</f>
        <v>71624.408256481227</v>
      </c>
      <c r="N19" s="49">
        <f>QDK!N28+M19</f>
        <v>96830.645262683815</v>
      </c>
      <c r="O19" s="49">
        <f>QDK!O28+N19</f>
        <v>124609.6036203315</v>
      </c>
      <c r="P19" s="49">
        <f>QDK!P28+O19</f>
        <v>155073.04745214331</v>
      </c>
      <c r="Q19" s="49">
        <f>QDK!Q28+P19</f>
        <v>187483.93670586581</v>
      </c>
      <c r="R19" s="49">
        <f>QDK!R28+Q19</f>
        <v>219440.00951880781</v>
      </c>
      <c r="S19" s="49">
        <f>QDK!S28+R19</f>
        <v>253844.82870162959</v>
      </c>
      <c r="T19" s="49">
        <f>QDK!T28+S19</f>
        <v>290859.61833487946</v>
      </c>
      <c r="U19" s="49">
        <f>QDK!U28+T19</f>
        <v>329913.25212490407</v>
      </c>
      <c r="V19" s="49">
        <f>QDK!V28+U19</f>
        <v>372311.34121958987</v>
      </c>
      <c r="W19" s="49">
        <f>QDK!W28+V19</f>
        <v>418090.85461255873</v>
      </c>
      <c r="X19" s="49">
        <f>QDK!X28+W19</f>
        <v>465946.02915766789</v>
      </c>
      <c r="Y19" s="49">
        <f>QDK!Y28+X19</f>
        <v>516571.95135997125</v>
      </c>
      <c r="Z19" s="49">
        <f>QDK!Z28+Y19</f>
        <v>570045.76992030151</v>
      </c>
      <c r="AA19" s="49">
        <f>QDK!AA28+Z19</f>
        <v>625574.26243150537</v>
      </c>
      <c r="AB19" s="49">
        <f>QDK!AB28+AA19</f>
        <v>683079.11740655126</v>
      </c>
      <c r="AC19" s="49">
        <f>QDK!AC28+AB19</f>
        <v>743580.91878876183</v>
      </c>
      <c r="AD19" s="49">
        <f>QDK!AD28+AC19</f>
        <v>807120.13470975554</v>
      </c>
      <c r="AE19" s="49">
        <f>QDK!AE28+AD19</f>
        <v>873530.7272250622</v>
      </c>
      <c r="AF19" s="49">
        <f>QDK!AF28+AE19</f>
        <v>943433.70419535961</v>
      </c>
      <c r="AG19" s="49">
        <f>QDK!AG28+AF19</f>
        <v>1017243.2605339593</v>
      </c>
      <c r="AH19" s="49">
        <f>QDK!AH28+AG19</f>
        <v>1090319.61813291</v>
      </c>
      <c r="AI19" s="49">
        <f>QDK!AI28+AH19</f>
        <v>1165767.0893461762</v>
      </c>
      <c r="AJ19" s="49">
        <f>QDK!AJ28+AI19</f>
        <v>1243897.7711696785</v>
      </c>
      <c r="AK19" s="49">
        <f>QDK!AK28+AJ19</f>
        <v>1323576.1125739273</v>
      </c>
      <c r="AL19" s="49">
        <f>QDK!AL28+AK19</f>
        <v>1399303.5521769433</v>
      </c>
    </row>
    <row r="21" spans="2:38">
      <c r="B21" s="134" t="s">
        <v>349</v>
      </c>
      <c r="C21" s="135" t="str">
        <f>IF(ROUND(C4-C13,0)=0,"ok",C4-C13)</f>
        <v>ok</v>
      </c>
      <c r="D21" s="135" t="str">
        <f>IF(ROUND(D4-D13,0)=0,"ok",D4-D13)</f>
        <v>ok</v>
      </c>
      <c r="E21" s="135" t="str">
        <f t="shared" ref="E21:AL21" si="6">IF(ROUND(E4-E13,0)=0,"ok",E4-E13)</f>
        <v>ok</v>
      </c>
      <c r="F21" s="135" t="str">
        <f t="shared" si="6"/>
        <v>ok</v>
      </c>
      <c r="G21" s="135" t="str">
        <f t="shared" si="6"/>
        <v>ok</v>
      </c>
      <c r="H21" s="135" t="str">
        <f t="shared" si="6"/>
        <v>ok</v>
      </c>
      <c r="I21" s="135" t="str">
        <f t="shared" si="6"/>
        <v>ok</v>
      </c>
      <c r="J21" s="135" t="str">
        <f t="shared" si="6"/>
        <v>ok</v>
      </c>
      <c r="K21" s="135" t="str">
        <f t="shared" si="6"/>
        <v>ok</v>
      </c>
      <c r="L21" s="135" t="str">
        <f t="shared" si="6"/>
        <v>ok</v>
      </c>
      <c r="M21" s="135" t="str">
        <f t="shared" si="6"/>
        <v>ok</v>
      </c>
      <c r="N21" s="135" t="str">
        <f t="shared" si="6"/>
        <v>ok</v>
      </c>
      <c r="O21" s="135" t="str">
        <f t="shared" si="6"/>
        <v>ok</v>
      </c>
      <c r="P21" s="135" t="str">
        <f t="shared" si="6"/>
        <v>ok</v>
      </c>
      <c r="Q21" s="135" t="str">
        <f t="shared" si="6"/>
        <v>ok</v>
      </c>
      <c r="R21" s="135" t="str">
        <f t="shared" si="6"/>
        <v>ok</v>
      </c>
      <c r="S21" s="135" t="str">
        <f t="shared" si="6"/>
        <v>ok</v>
      </c>
      <c r="T21" s="135" t="str">
        <f t="shared" si="6"/>
        <v>ok</v>
      </c>
      <c r="U21" s="135" t="str">
        <f t="shared" si="6"/>
        <v>ok</v>
      </c>
      <c r="V21" s="135" t="str">
        <f t="shared" si="6"/>
        <v>ok</v>
      </c>
      <c r="W21" s="135" t="str">
        <f t="shared" si="6"/>
        <v>ok</v>
      </c>
      <c r="X21" s="135" t="str">
        <f t="shared" si="6"/>
        <v>ok</v>
      </c>
      <c r="Y21" s="135" t="str">
        <f t="shared" si="6"/>
        <v>ok</v>
      </c>
      <c r="Z21" s="135" t="str">
        <f t="shared" si="6"/>
        <v>ok</v>
      </c>
      <c r="AA21" s="135" t="str">
        <f t="shared" si="6"/>
        <v>ok</v>
      </c>
      <c r="AB21" s="135" t="str">
        <f t="shared" si="6"/>
        <v>ok</v>
      </c>
      <c r="AC21" s="135" t="str">
        <f t="shared" si="6"/>
        <v>ok</v>
      </c>
      <c r="AD21" s="135" t="str">
        <f t="shared" si="6"/>
        <v>ok</v>
      </c>
      <c r="AE21" s="135" t="str">
        <f t="shared" si="6"/>
        <v>ok</v>
      </c>
      <c r="AF21" s="135" t="str">
        <f t="shared" si="6"/>
        <v>ok</v>
      </c>
      <c r="AG21" s="135" t="str">
        <f t="shared" si="6"/>
        <v>ok</v>
      </c>
      <c r="AH21" s="135" t="str">
        <f t="shared" si="6"/>
        <v>ok</v>
      </c>
      <c r="AI21" s="135" t="str">
        <f t="shared" si="6"/>
        <v>ok</v>
      </c>
      <c r="AJ21" s="135" t="str">
        <f t="shared" si="6"/>
        <v>ok</v>
      </c>
      <c r="AK21" s="135" t="str">
        <f t="shared" si="6"/>
        <v>ok</v>
      </c>
      <c r="AL21" s="135" t="str">
        <f t="shared" si="6"/>
        <v>ok</v>
      </c>
    </row>
  </sheetData>
  <pageMargins left="0.511811024" right="0.511811024" top="0.78740157499999996" bottom="0.78740157499999996" header="0.31496062000000002" footer="0.3149606200000000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Planilha19"/>
  <dimension ref="A1:F39"/>
  <sheetViews>
    <sheetView showGridLines="0" zoomScale="80" zoomScaleNormal="80" workbookViewId="0"/>
  </sheetViews>
  <sheetFormatPr defaultRowHeight="12.75"/>
  <cols>
    <col min="1" max="1" width="13.140625" customWidth="1"/>
    <col min="4" max="4" width="19.140625" style="284" customWidth="1"/>
    <col min="5" max="5" width="6.140625" customWidth="1"/>
    <col min="6" max="6" width="19.7109375" customWidth="1"/>
  </cols>
  <sheetData>
    <row r="1" spans="1:6">
      <c r="A1" t="s">
        <v>443</v>
      </c>
    </row>
    <row r="3" spans="1:6" ht="38.25">
      <c r="A3" s="1" t="s">
        <v>440</v>
      </c>
      <c r="D3" s="285" t="s">
        <v>444</v>
      </c>
      <c r="F3" s="285" t="s">
        <v>445</v>
      </c>
    </row>
    <row r="4" spans="1:6">
      <c r="A4" s="282">
        <v>42309</v>
      </c>
      <c r="B4">
        <v>12</v>
      </c>
      <c r="D4" s="284">
        <v>100</v>
      </c>
      <c r="F4" s="284">
        <v>100</v>
      </c>
    </row>
    <row r="5" spans="1:6">
      <c r="A5" s="282">
        <v>42339</v>
      </c>
      <c r="B5">
        <v>11</v>
      </c>
      <c r="D5" s="284">
        <v>1</v>
      </c>
      <c r="F5" s="284">
        <v>1</v>
      </c>
    </row>
    <row r="6" spans="1:6">
      <c r="A6" s="282">
        <v>42370</v>
      </c>
      <c r="B6">
        <v>10</v>
      </c>
      <c r="D6" s="284">
        <v>2</v>
      </c>
      <c r="F6" s="284">
        <v>2</v>
      </c>
    </row>
    <row r="7" spans="1:6">
      <c r="A7" s="282">
        <v>42401</v>
      </c>
      <c r="B7">
        <v>9</v>
      </c>
      <c r="D7" s="284">
        <v>3</v>
      </c>
      <c r="F7" s="284">
        <v>3</v>
      </c>
    </row>
    <row r="8" spans="1:6">
      <c r="A8" s="282">
        <v>42430</v>
      </c>
      <c r="B8">
        <v>8</v>
      </c>
      <c r="D8" s="284">
        <v>4</v>
      </c>
      <c r="F8" s="284">
        <v>4</v>
      </c>
    </row>
    <row r="9" spans="1:6">
      <c r="A9" s="282">
        <v>42461</v>
      </c>
      <c r="B9">
        <v>7</v>
      </c>
      <c r="D9" s="284">
        <v>5</v>
      </c>
      <c r="F9" s="284">
        <v>5</v>
      </c>
    </row>
    <row r="10" spans="1:6">
      <c r="A10" s="282">
        <v>42491</v>
      </c>
      <c r="B10">
        <v>6</v>
      </c>
      <c r="D10" s="284">
        <v>6</v>
      </c>
      <c r="F10" s="284">
        <v>6</v>
      </c>
    </row>
    <row r="11" spans="1:6">
      <c r="A11" s="282">
        <v>42522</v>
      </c>
      <c r="B11">
        <v>5</v>
      </c>
      <c r="D11" s="284">
        <v>7</v>
      </c>
      <c r="F11" s="284">
        <v>7</v>
      </c>
    </row>
    <row r="12" spans="1:6">
      <c r="A12" s="282">
        <v>42552</v>
      </c>
      <c r="B12">
        <v>4</v>
      </c>
      <c r="D12" s="284">
        <v>8</v>
      </c>
      <c r="F12" s="284">
        <v>8</v>
      </c>
    </row>
    <row r="13" spans="1:6">
      <c r="A13" s="282">
        <v>42583</v>
      </c>
      <c r="B13">
        <v>3</v>
      </c>
      <c r="D13" s="284">
        <v>9</v>
      </c>
      <c r="F13" s="284">
        <v>9</v>
      </c>
    </row>
    <row r="14" spans="1:6">
      <c r="A14" s="282">
        <v>42614</v>
      </c>
      <c r="B14">
        <v>2</v>
      </c>
      <c r="D14" s="284">
        <v>10</v>
      </c>
      <c r="F14" s="284">
        <v>10</v>
      </c>
    </row>
    <row r="15" spans="1:6">
      <c r="A15" s="282">
        <v>42644</v>
      </c>
      <c r="B15">
        <v>1</v>
      </c>
      <c r="D15" s="284">
        <v>11</v>
      </c>
      <c r="F15" s="284">
        <v>11</v>
      </c>
    </row>
    <row r="16" spans="1:6">
      <c r="A16" s="282">
        <v>42675</v>
      </c>
      <c r="B16">
        <v>12</v>
      </c>
      <c r="D16" s="284">
        <v>12</v>
      </c>
      <c r="F16" s="284">
        <v>12</v>
      </c>
    </row>
    <row r="17" spans="1:6">
      <c r="A17" s="282">
        <v>42705</v>
      </c>
      <c r="B17">
        <v>11</v>
      </c>
      <c r="D17" s="284">
        <v>13</v>
      </c>
      <c r="F17" s="284">
        <v>13</v>
      </c>
    </row>
    <row r="18" spans="1:6">
      <c r="A18" s="282">
        <v>42736</v>
      </c>
      <c r="B18">
        <v>10</v>
      </c>
      <c r="D18" s="284">
        <v>14</v>
      </c>
      <c r="F18" s="284">
        <v>14</v>
      </c>
    </row>
    <row r="19" spans="1:6">
      <c r="A19" s="282">
        <v>42767</v>
      </c>
      <c r="B19">
        <v>9</v>
      </c>
      <c r="D19" s="284">
        <v>15</v>
      </c>
      <c r="F19" s="284">
        <v>15</v>
      </c>
    </row>
    <row r="20" spans="1:6">
      <c r="A20" s="282">
        <v>42795</v>
      </c>
      <c r="B20">
        <v>8</v>
      </c>
      <c r="D20" s="284">
        <v>16</v>
      </c>
      <c r="F20" s="284">
        <v>16</v>
      </c>
    </row>
    <row r="21" spans="1:6">
      <c r="A21" s="282">
        <v>42826</v>
      </c>
      <c r="B21">
        <v>7</v>
      </c>
      <c r="D21" s="284">
        <v>17</v>
      </c>
      <c r="F21" s="284">
        <v>17</v>
      </c>
    </row>
    <row r="22" spans="1:6">
      <c r="A22" s="282">
        <v>42856</v>
      </c>
      <c r="B22">
        <v>6</v>
      </c>
      <c r="D22" s="284">
        <v>18</v>
      </c>
      <c r="F22" s="284">
        <v>18</v>
      </c>
    </row>
    <row r="23" spans="1:6">
      <c r="A23" s="282">
        <v>42887</v>
      </c>
      <c r="B23">
        <v>5</v>
      </c>
      <c r="D23" s="284">
        <v>19</v>
      </c>
      <c r="F23" s="284">
        <v>19</v>
      </c>
    </row>
    <row r="24" spans="1:6">
      <c r="A24" s="282">
        <v>42917</v>
      </c>
      <c r="B24">
        <v>4</v>
      </c>
      <c r="D24" s="284">
        <v>20</v>
      </c>
      <c r="F24" s="284">
        <v>20</v>
      </c>
    </row>
    <row r="25" spans="1:6">
      <c r="A25" s="282">
        <v>42948</v>
      </c>
      <c r="B25">
        <v>3</v>
      </c>
      <c r="D25" s="284">
        <v>21</v>
      </c>
      <c r="F25" s="284">
        <v>21</v>
      </c>
    </row>
    <row r="26" spans="1:6">
      <c r="A26" s="282">
        <v>42979</v>
      </c>
      <c r="B26">
        <v>2</v>
      </c>
      <c r="D26" s="284">
        <v>22</v>
      </c>
      <c r="F26" s="284">
        <v>22</v>
      </c>
    </row>
    <row r="27" spans="1:6">
      <c r="A27" s="282">
        <v>43009</v>
      </c>
      <c r="B27">
        <v>1</v>
      </c>
      <c r="D27" s="284">
        <v>23</v>
      </c>
      <c r="F27" s="284">
        <v>23</v>
      </c>
    </row>
    <row r="28" spans="1:6">
      <c r="A28" s="282">
        <v>43040</v>
      </c>
      <c r="B28">
        <v>12</v>
      </c>
      <c r="D28" s="284">
        <v>24</v>
      </c>
      <c r="F28" s="284">
        <v>24</v>
      </c>
    </row>
    <row r="29" spans="1:6">
      <c r="A29" s="282">
        <v>43070</v>
      </c>
      <c r="B29">
        <v>11</v>
      </c>
      <c r="D29" s="284">
        <v>25</v>
      </c>
      <c r="F29" s="284">
        <v>25</v>
      </c>
    </row>
    <row r="30" spans="1:6">
      <c r="A30" s="282">
        <v>43101</v>
      </c>
      <c r="B30">
        <v>10</v>
      </c>
      <c r="D30" s="284">
        <v>26</v>
      </c>
      <c r="F30" s="284">
        <v>26</v>
      </c>
    </row>
    <row r="31" spans="1:6">
      <c r="A31" s="282">
        <v>43132</v>
      </c>
      <c r="B31">
        <v>9</v>
      </c>
      <c r="D31" s="284">
        <v>27</v>
      </c>
      <c r="F31" s="284">
        <v>27</v>
      </c>
    </row>
    <row r="32" spans="1:6">
      <c r="A32" s="282">
        <v>43160</v>
      </c>
      <c r="B32">
        <v>8</v>
      </c>
      <c r="D32" s="284">
        <v>28</v>
      </c>
      <c r="F32" s="284">
        <v>28</v>
      </c>
    </row>
    <row r="33" spans="1:6">
      <c r="A33" s="282">
        <v>43191</v>
      </c>
      <c r="B33">
        <v>7</v>
      </c>
      <c r="D33" s="284">
        <v>29</v>
      </c>
      <c r="F33" s="284">
        <v>29</v>
      </c>
    </row>
    <row r="34" spans="1:6">
      <c r="A34" s="282">
        <v>43221</v>
      </c>
      <c r="B34">
        <v>6</v>
      </c>
      <c r="D34" s="284">
        <v>30</v>
      </c>
      <c r="F34" s="284">
        <v>30</v>
      </c>
    </row>
    <row r="35" spans="1:6">
      <c r="A35" s="282">
        <v>43252</v>
      </c>
      <c r="B35">
        <v>5</v>
      </c>
      <c r="D35" s="284">
        <v>31</v>
      </c>
      <c r="F35" s="284">
        <v>31</v>
      </c>
    </row>
    <row r="36" spans="1:6">
      <c r="A36" s="282">
        <v>43282</v>
      </c>
      <c r="B36">
        <v>4</v>
      </c>
      <c r="D36" s="284">
        <v>32</v>
      </c>
      <c r="F36" s="284">
        <v>32</v>
      </c>
    </row>
    <row r="37" spans="1:6">
      <c r="A37" s="282">
        <v>43313</v>
      </c>
      <c r="B37">
        <v>3</v>
      </c>
      <c r="D37" s="284">
        <v>33</v>
      </c>
      <c r="F37" s="284">
        <v>33</v>
      </c>
    </row>
    <row r="38" spans="1:6">
      <c r="A38" s="282">
        <v>43344</v>
      </c>
      <c r="B38">
        <v>2</v>
      </c>
      <c r="D38" s="284">
        <v>34</v>
      </c>
      <c r="F38" s="284">
        <v>34</v>
      </c>
    </row>
    <row r="39" spans="1:6">
      <c r="A39" s="282">
        <v>43374</v>
      </c>
      <c r="B39">
        <v>1</v>
      </c>
      <c r="D39" s="284">
        <v>35</v>
      </c>
      <c r="F39" s="284">
        <v>35</v>
      </c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2"/>
  <dimension ref="B2:R63"/>
  <sheetViews>
    <sheetView showGridLines="0" tabSelected="1" zoomScale="115" zoomScaleNormal="115" workbookViewId="0">
      <selection activeCell="D10" sqref="D10"/>
    </sheetView>
  </sheetViews>
  <sheetFormatPr defaultColWidth="9.140625" defaultRowHeight="12.75"/>
  <cols>
    <col min="1" max="1" width="2.28515625" style="23" customWidth="1"/>
    <col min="2" max="2" width="23.28515625" style="23" customWidth="1"/>
    <col min="3" max="4" width="18.7109375" style="23" customWidth="1"/>
    <col min="5" max="5" width="9.5703125" style="302" customWidth="1"/>
    <col min="6" max="6" width="24.28515625" style="23" customWidth="1"/>
    <col min="7" max="8" width="18.7109375" style="23" customWidth="1"/>
    <col min="9" max="9" width="1.42578125" style="23" customWidth="1"/>
    <col min="10" max="10" width="13.5703125" style="290" customWidth="1"/>
    <col min="11" max="11" width="2.85546875" style="290" bestFit="1" customWidth="1"/>
    <col min="12" max="12" width="12.5703125" style="290" customWidth="1"/>
    <col min="13" max="13" width="11.28515625" style="428" customWidth="1"/>
    <col min="14" max="14" width="9.140625" style="23" customWidth="1"/>
    <col min="15" max="15" width="9.5703125" style="23" bestFit="1" customWidth="1"/>
    <col min="16" max="16" width="10.28515625" style="23" customWidth="1"/>
    <col min="17" max="17" width="7.85546875" style="23" customWidth="1"/>
    <col min="18" max="18" width="10.42578125" style="23" bestFit="1" customWidth="1"/>
    <col min="19" max="16384" width="9.140625" style="23"/>
  </cols>
  <sheetData>
    <row r="2" spans="2:18" ht="13.5" thickBot="1">
      <c r="B2" s="237" t="s">
        <v>427</v>
      </c>
      <c r="C2" s="237"/>
      <c r="D2" s="237"/>
      <c r="E2" s="301"/>
      <c r="F2" s="238"/>
      <c r="G2" s="238"/>
      <c r="H2" s="238"/>
    </row>
    <row r="3" spans="2:18" ht="13.5" thickBot="1">
      <c r="K3"/>
      <c r="L3" s="399"/>
      <c r="M3" s="274"/>
    </row>
    <row r="4" spans="2:18" ht="18" customHeight="1" thickBot="1">
      <c r="B4" s="239" t="s">
        <v>430</v>
      </c>
      <c r="C4" s="240"/>
      <c r="D4" s="241"/>
      <c r="F4" s="239" t="s">
        <v>431</v>
      </c>
      <c r="G4" s="240"/>
      <c r="H4" s="241"/>
      <c r="J4" s="296"/>
      <c r="K4" s="400"/>
      <c r="M4" s="429"/>
      <c r="O4"/>
      <c r="P4" s="401"/>
    </row>
    <row r="5" spans="2:18" ht="18" customHeight="1" thickBot="1">
      <c r="B5" s="253" t="s">
        <v>403</v>
      </c>
      <c r="C5" s="256"/>
      <c r="D5" s="257">
        <f>QDL!C28</f>
        <v>0.11778525806764395</v>
      </c>
      <c r="E5" s="477">
        <v>0.118118975451972</v>
      </c>
      <c r="F5" s="242" t="s">
        <v>454</v>
      </c>
      <c r="G5" s="243"/>
      <c r="H5" s="244"/>
      <c r="J5" s="296"/>
      <c r="K5" s="318" t="s">
        <v>452</v>
      </c>
      <c r="L5" s="778">
        <f>D10-H10</f>
        <v>-1.908713697965414E-2</v>
      </c>
      <c r="M5" s="430"/>
      <c r="O5"/>
      <c r="P5" s="401"/>
    </row>
    <row r="6" spans="2:18" ht="18" customHeight="1" thickBot="1">
      <c r="B6" s="254" t="s">
        <v>401</v>
      </c>
      <c r="C6" s="255"/>
      <c r="D6" s="798">
        <f>QDL!C34</f>
        <v>-2.8478023244896043E-12</v>
      </c>
      <c r="E6" s="302">
        <v>794.62842689711067</v>
      </c>
      <c r="F6" s="320" t="s">
        <v>609</v>
      </c>
      <c r="G6" s="319" t="s">
        <v>432</v>
      </c>
      <c r="H6" s="855">
        <f>IF(G6="apresentada",4.6438433983292,4.60527978501145)</f>
        <v>4.60527978501145</v>
      </c>
      <c r="I6" s="273"/>
      <c r="J6" s="296"/>
      <c r="K6" s="400"/>
      <c r="L6" s="799"/>
      <c r="M6" s="430"/>
      <c r="O6"/>
      <c r="P6" s="401"/>
    </row>
    <row r="7" spans="2:18" ht="18" customHeight="1">
      <c r="C7" s="313"/>
      <c r="D7" s="704"/>
      <c r="E7" s="438"/>
      <c r="F7" s="603" t="s">
        <v>610</v>
      </c>
      <c r="G7" s="319" t="s">
        <v>432</v>
      </c>
      <c r="H7" s="856">
        <v>4.6595042189923408</v>
      </c>
      <c r="J7" s="296"/>
      <c r="K7" s="400"/>
      <c r="L7" s="799"/>
      <c r="M7" s="430"/>
      <c r="O7"/>
      <c r="P7" s="401"/>
    </row>
    <row r="8" spans="2:18" ht="18" customHeight="1" thickBot="1">
      <c r="D8" s="313"/>
      <c r="E8" s="439"/>
      <c r="F8" s="603" t="s">
        <v>612</v>
      </c>
      <c r="G8" s="601" t="s">
        <v>432</v>
      </c>
      <c r="H8" s="856">
        <v>4.9375608950411713</v>
      </c>
      <c r="J8" s="296"/>
      <c r="K8" s="400"/>
      <c r="M8" s="430"/>
      <c r="O8"/>
      <c r="P8" s="401"/>
      <c r="R8" s="273"/>
    </row>
    <row r="9" spans="2:18" ht="18" customHeight="1">
      <c r="B9" s="250" t="s">
        <v>681</v>
      </c>
      <c r="C9" s="251"/>
      <c r="D9" s="252"/>
      <c r="E9" s="700"/>
      <c r="F9" s="603" t="s">
        <v>683</v>
      </c>
      <c r="G9" s="601" t="s">
        <v>432</v>
      </c>
      <c r="H9" s="856">
        <v>4.9404507850518078</v>
      </c>
      <c r="J9" s="296"/>
      <c r="L9" s="400"/>
      <c r="M9" s="430"/>
      <c r="O9"/>
      <c r="P9" s="401"/>
    </row>
    <row r="10" spans="2:18" ht="18" customHeight="1">
      <c r="B10" s="253" t="s">
        <v>455</v>
      </c>
      <c r="C10" s="256"/>
      <c r="D10" s="405">
        <v>4.7525160660998287</v>
      </c>
      <c r="E10" s="437"/>
      <c r="F10" s="603" t="s">
        <v>682</v>
      </c>
      <c r="G10" s="601" t="s">
        <v>432</v>
      </c>
      <c r="H10" s="856">
        <v>4.7716032030794828</v>
      </c>
      <c r="J10" s="296"/>
      <c r="K10" s="400"/>
      <c r="L10" s="399"/>
      <c r="M10" s="430"/>
      <c r="O10"/>
      <c r="P10" s="401"/>
      <c r="R10" s="273"/>
    </row>
    <row r="11" spans="2:18" ht="18" customHeight="1" thickBot="1">
      <c r="B11" s="322" t="s">
        <v>456</v>
      </c>
      <c r="C11" s="323"/>
      <c r="D11" s="260">
        <v>14</v>
      </c>
      <c r="E11" s="303">
        <v>4</v>
      </c>
      <c r="F11" s="604" t="s">
        <v>689</v>
      </c>
      <c r="G11" s="602" t="s">
        <v>453</v>
      </c>
      <c r="H11" s="857">
        <f>D10</f>
        <v>4.7525160660998287</v>
      </c>
      <c r="J11" s="296"/>
      <c r="K11" s="400"/>
      <c r="L11" s="399"/>
      <c r="M11" s="430"/>
      <c r="O11"/>
      <c r="P11" s="401"/>
    </row>
    <row r="12" spans="2:18" ht="18" customHeight="1" thickBot="1">
      <c r="B12" s="324" t="s">
        <v>457</v>
      </c>
      <c r="C12" s="325"/>
      <c r="D12" s="334">
        <v>45295</v>
      </c>
      <c r="E12" s="304">
        <v>6</v>
      </c>
      <c r="F12" s="695"/>
      <c r="J12" s="296"/>
      <c r="K12" s="400"/>
      <c r="L12" s="399"/>
      <c r="M12" s="446"/>
      <c r="N12" s="313"/>
      <c r="O12"/>
      <c r="P12" s="401"/>
    </row>
    <row r="13" spans="2:18" ht="18" customHeight="1">
      <c r="B13" s="326" t="s">
        <v>458</v>
      </c>
      <c r="C13" s="327"/>
      <c r="D13" s="321">
        <v>35</v>
      </c>
      <c r="E13" s="305"/>
      <c r="F13" s="239" t="s">
        <v>583</v>
      </c>
      <c r="G13" s="265"/>
      <c r="H13" s="266"/>
      <c r="J13" s="296"/>
      <c r="K13" s="400"/>
      <c r="L13" s="399"/>
      <c r="M13" s="446"/>
      <c r="N13" s="313"/>
      <c r="O13" s="447"/>
      <c r="P13" s="401"/>
    </row>
    <row r="14" spans="2:18" ht="18" customHeight="1" thickBot="1">
      <c r="B14" s="328" t="s">
        <v>459</v>
      </c>
      <c r="C14" s="329"/>
      <c r="D14" s="261">
        <v>53634</v>
      </c>
      <c r="F14" s="310" t="s">
        <v>451</v>
      </c>
      <c r="G14" s="312" t="s">
        <v>4</v>
      </c>
      <c r="H14" s="311">
        <v>6.4629301033791081E-2</v>
      </c>
      <c r="J14" s="307"/>
      <c r="K14" s="400"/>
      <c r="L14" s="399"/>
      <c r="M14" s="399"/>
      <c r="O14"/>
      <c r="P14" s="401"/>
    </row>
    <row r="15" spans="2:18" ht="18" customHeight="1" thickBot="1">
      <c r="D15" s="397"/>
      <c r="E15" s="302">
        <v>35</v>
      </c>
      <c r="F15" s="267" t="s">
        <v>433</v>
      </c>
      <c r="G15" s="268"/>
      <c r="H15" s="272">
        <v>4</v>
      </c>
      <c r="J15" s="307"/>
      <c r="K15" s="400"/>
      <c r="L15" s="399"/>
      <c r="M15" s="430"/>
      <c r="O15"/>
      <c r="P15" s="401"/>
    </row>
    <row r="16" spans="2:18" ht="18" customHeight="1" thickBot="1">
      <c r="B16" s="800" t="s">
        <v>584</v>
      </c>
      <c r="C16" s="801"/>
      <c r="D16" s="802"/>
      <c r="F16" s="271" t="s">
        <v>438</v>
      </c>
      <c r="G16" s="259"/>
      <c r="H16" s="278">
        <v>42269</v>
      </c>
      <c r="J16" s="696"/>
      <c r="K16" s="400"/>
      <c r="L16" s="399"/>
      <c r="M16" s="430"/>
      <c r="O16"/>
      <c r="P16" s="401"/>
    </row>
    <row r="17" spans="2:16" ht="18" customHeight="1" thickBot="1">
      <c r="B17" s="271" t="s">
        <v>439</v>
      </c>
      <c r="C17" s="259"/>
      <c r="D17" s="269" t="s">
        <v>689</v>
      </c>
      <c r="J17" s="697"/>
      <c r="K17" s="400"/>
      <c r="L17" s="295"/>
      <c r="M17" s="430"/>
      <c r="O17" s="402"/>
      <c r="P17" s="403"/>
    </row>
    <row r="18" spans="2:16" ht="18" customHeight="1" thickBot="1">
      <c r="E18" s="302" t="s">
        <v>330</v>
      </c>
      <c r="F18" s="239" t="s">
        <v>581</v>
      </c>
      <c r="G18" s="265"/>
      <c r="H18" s="266"/>
      <c r="J18" s="697"/>
      <c r="K18" s="400"/>
      <c r="L18" s="399"/>
      <c r="M18" s="430"/>
      <c r="O18"/>
      <c r="P18" s="401"/>
    </row>
    <row r="19" spans="2:16" ht="18" customHeight="1" thickBot="1">
      <c r="B19" s="775" t="s">
        <v>592</v>
      </c>
      <c r="C19" s="776"/>
      <c r="D19" s="777"/>
      <c r="F19" s="258" t="s">
        <v>434</v>
      </c>
      <c r="G19" s="259"/>
      <c r="H19" s="314" t="s">
        <v>682</v>
      </c>
      <c r="J19" s="697"/>
      <c r="K19" s="400"/>
      <c r="L19" s="399"/>
      <c r="M19" s="430"/>
      <c r="O19"/>
      <c r="P19" s="401"/>
    </row>
    <row r="20" spans="2:16" ht="18" customHeight="1" thickBot="1">
      <c r="B20" s="258" t="s">
        <v>434</v>
      </c>
      <c r="C20" s="259"/>
      <c r="D20" s="314" t="s">
        <v>682</v>
      </c>
      <c r="J20" s="697"/>
      <c r="L20" s="698"/>
      <c r="M20" s="431"/>
      <c r="O20"/>
      <c r="P20" s="401"/>
    </row>
    <row r="21" spans="2:16" ht="18" customHeight="1" thickBot="1">
      <c r="E21" s="302">
        <v>7</v>
      </c>
      <c r="F21" s="679" t="s">
        <v>598</v>
      </c>
      <c r="G21" s="680"/>
      <c r="H21" s="681"/>
      <c r="J21" s="697"/>
      <c r="L21" s="698"/>
      <c r="M21" s="699"/>
      <c r="O21"/>
      <c r="P21" s="401"/>
    </row>
    <row r="22" spans="2:16" ht="18" customHeight="1" thickBot="1">
      <c r="B22" s="775" t="s">
        <v>591</v>
      </c>
      <c r="C22" s="776"/>
      <c r="D22" s="777"/>
      <c r="F22" s="258" t="s">
        <v>434</v>
      </c>
      <c r="G22" s="259"/>
      <c r="H22" s="269" t="s">
        <v>582</v>
      </c>
      <c r="J22" s="308"/>
      <c r="M22" s="699"/>
      <c r="O22"/>
      <c r="P22" s="401"/>
    </row>
    <row r="23" spans="2:16" ht="18" customHeight="1" thickBot="1">
      <c r="B23" s="258" t="s">
        <v>434</v>
      </c>
      <c r="C23" s="259"/>
      <c r="D23" s="314" t="s">
        <v>682</v>
      </c>
      <c r="J23" s="309"/>
      <c r="K23" s="297"/>
      <c r="O23"/>
      <c r="P23" s="401"/>
    </row>
    <row r="24" spans="2:16" ht="18" customHeight="1" thickBot="1">
      <c r="F24" s="679" t="s">
        <v>587</v>
      </c>
      <c r="G24" s="680"/>
      <c r="H24" s="681"/>
      <c r="J24" s="308"/>
      <c r="K24" s="291"/>
      <c r="L24" s="293"/>
      <c r="O24" s="402"/>
      <c r="P24" s="403"/>
    </row>
    <row r="25" spans="2:16" ht="18" customHeight="1" thickBot="1">
      <c r="B25" s="775" t="s">
        <v>593</v>
      </c>
      <c r="C25" s="776"/>
      <c r="D25" s="777"/>
      <c r="E25" s="306">
        <v>42370</v>
      </c>
      <c r="F25" s="258" t="s">
        <v>434</v>
      </c>
      <c r="G25" s="259"/>
      <c r="H25" s="269" t="s">
        <v>582</v>
      </c>
      <c r="J25" s="308"/>
      <c r="L25" s="292"/>
      <c r="M25" s="432"/>
      <c r="O25"/>
      <c r="P25" s="401"/>
    </row>
    <row r="26" spans="2:16" ht="14.25" customHeight="1" thickBot="1">
      <c r="B26" s="258" t="s">
        <v>434</v>
      </c>
      <c r="C26" s="259"/>
      <c r="D26" s="314" t="s">
        <v>682</v>
      </c>
      <c r="E26" s="302">
        <v>8</v>
      </c>
      <c r="J26" s="308"/>
      <c r="K26" s="291"/>
      <c r="L26" s="292"/>
      <c r="M26" s="433"/>
      <c r="O26"/>
      <c r="P26" s="401"/>
    </row>
    <row r="27" spans="2:16" ht="18" customHeight="1" thickBot="1">
      <c r="F27" s="679" t="s">
        <v>588</v>
      </c>
      <c r="G27" s="680"/>
      <c r="H27" s="681"/>
      <c r="J27" s="308">
        <v>6</v>
      </c>
      <c r="K27" s="291"/>
      <c r="M27" s="434"/>
      <c r="O27" s="402"/>
      <c r="P27" s="403"/>
    </row>
    <row r="28" spans="2:16" ht="18" customHeight="1" thickBot="1">
      <c r="B28" s="679" t="s">
        <v>594</v>
      </c>
      <c r="C28" s="680"/>
      <c r="D28" s="681"/>
      <c r="F28" s="258" t="s">
        <v>434</v>
      </c>
      <c r="G28" s="259"/>
      <c r="H28" s="269" t="s">
        <v>582</v>
      </c>
      <c r="J28" s="308"/>
      <c r="M28" s="435"/>
      <c r="O28"/>
      <c r="P28" s="401"/>
    </row>
    <row r="29" spans="2:16" ht="18" customHeight="1" thickBot="1">
      <c r="B29" s="276" t="s">
        <v>441</v>
      </c>
      <c r="C29" s="268"/>
      <c r="D29" s="283">
        <f>995.59394/(1+('Série Histórica IPCA'!C313/'Série Histórica IPCA'!C248-1))</f>
        <v>757.2661619100287</v>
      </c>
      <c r="E29" s="470">
        <v>757.2661619100287</v>
      </c>
      <c r="J29" s="308"/>
      <c r="K29" s="291"/>
      <c r="L29" s="298"/>
      <c r="M29" s="433"/>
      <c r="O29" s="402"/>
      <c r="P29" s="403"/>
    </row>
    <row r="30" spans="2:16" ht="18" customHeight="1" thickBot="1">
      <c r="B30" s="276" t="s">
        <v>450</v>
      </c>
      <c r="C30" s="268"/>
      <c r="D30" s="317">
        <v>42917</v>
      </c>
      <c r="E30" s="469">
        <v>42917</v>
      </c>
      <c r="F30" s="775" t="s">
        <v>589</v>
      </c>
      <c r="G30" s="776"/>
      <c r="H30" s="777"/>
      <c r="J30" s="308">
        <v>6</v>
      </c>
      <c r="K30" s="291"/>
      <c r="L30" s="293"/>
      <c r="M30" s="294"/>
      <c r="O30" s="476"/>
      <c r="P30" s="401"/>
    </row>
    <row r="31" spans="2:16" ht="18" customHeight="1" thickBot="1">
      <c r="B31" s="280"/>
      <c r="C31" s="281"/>
      <c r="D31" s="283">
        <v>4</v>
      </c>
      <c r="E31" s="469">
        <v>4</v>
      </c>
      <c r="F31" s="258" t="s">
        <v>434</v>
      </c>
      <c r="G31" s="259"/>
      <c r="H31" s="269" t="s">
        <v>611</v>
      </c>
      <c r="J31" s="308"/>
      <c r="L31" s="422"/>
      <c r="M31" s="436"/>
      <c r="O31"/>
      <c r="P31" s="401"/>
    </row>
    <row r="32" spans="2:16" ht="18" customHeight="1" thickBot="1">
      <c r="B32" s="276" t="s">
        <v>449</v>
      </c>
      <c r="C32" s="268"/>
      <c r="D32" s="300">
        <v>6</v>
      </c>
      <c r="E32" s="469">
        <v>6</v>
      </c>
      <c r="J32" s="308"/>
      <c r="K32" s="291"/>
      <c r="L32" s="422"/>
      <c r="M32" s="436"/>
      <c r="O32"/>
      <c r="P32" s="401"/>
    </row>
    <row r="33" spans="2:17" ht="18" customHeight="1" thickBot="1">
      <c r="B33" s="271" t="s">
        <v>439</v>
      </c>
      <c r="C33" s="259"/>
      <c r="D33" s="269" t="s">
        <v>330</v>
      </c>
      <c r="E33" s="469" t="s">
        <v>330</v>
      </c>
      <c r="F33" s="800" t="s">
        <v>586</v>
      </c>
      <c r="G33" s="801"/>
      <c r="H33" s="802"/>
      <c r="J33" s="308">
        <v>6</v>
      </c>
      <c r="K33" s="291"/>
      <c r="L33" s="422"/>
      <c r="M33" s="436"/>
      <c r="O33" s="402"/>
      <c r="P33" s="403"/>
    </row>
    <row r="34" spans="2:17" ht="18" customHeight="1" thickBot="1">
      <c r="E34" s="302">
        <v>6</v>
      </c>
      <c r="F34" s="258" t="s">
        <v>434</v>
      </c>
      <c r="G34" s="259"/>
      <c r="H34" s="269" t="s">
        <v>689</v>
      </c>
      <c r="J34" s="308"/>
      <c r="L34" s="422"/>
      <c r="M34" s="436"/>
    </row>
    <row r="35" spans="2:17" ht="18" customHeight="1" thickBot="1">
      <c r="B35" s="679" t="s">
        <v>585</v>
      </c>
      <c r="C35" s="680"/>
      <c r="D35" s="681"/>
      <c r="J35" s="308"/>
    </row>
    <row r="36" spans="2:17" ht="18" customHeight="1" thickBot="1">
      <c r="B36" s="276" t="s">
        <v>441</v>
      </c>
      <c r="C36" s="396"/>
      <c r="D36" s="398">
        <f>1709.35247/(1+('Série Histórica IPCA'!C341/'Série Histórica IPCA'!C248-1))</f>
        <v>1108.3108896333652</v>
      </c>
      <c r="E36" s="469"/>
      <c r="F36" s="679" t="s">
        <v>590</v>
      </c>
      <c r="G36" s="680"/>
      <c r="H36" s="681"/>
      <c r="J36" s="308">
        <v>6</v>
      </c>
    </row>
    <row r="37" spans="2:17" ht="18" customHeight="1" thickBot="1">
      <c r="B37" s="258" t="s">
        <v>434</v>
      </c>
      <c r="C37" s="259"/>
      <c r="D37" s="269">
        <v>0</v>
      </c>
      <c r="E37" s="663">
        <v>6</v>
      </c>
      <c r="F37" s="258" t="s">
        <v>434</v>
      </c>
      <c r="G37" s="259"/>
      <c r="H37" s="269" t="s">
        <v>582</v>
      </c>
      <c r="J37" s="308"/>
    </row>
    <row r="38" spans="2:17" ht="18" customHeight="1" thickBot="1">
      <c r="D38" s="474"/>
      <c r="J38" s="308"/>
      <c r="P38" s="454"/>
    </row>
    <row r="39" spans="2:17" ht="18" customHeight="1" thickBot="1">
      <c r="B39" s="679" t="s">
        <v>595</v>
      </c>
      <c r="C39" s="680"/>
      <c r="D39" s="681"/>
      <c r="F39" s="800" t="s">
        <v>1473</v>
      </c>
      <c r="G39" s="801"/>
      <c r="H39" s="802"/>
      <c r="J39" s="308" t="s">
        <v>330</v>
      </c>
      <c r="P39" s="454"/>
    </row>
    <row r="40" spans="2:17" ht="18" customHeight="1" thickBot="1">
      <c r="B40" s="276" t="s">
        <v>441</v>
      </c>
      <c r="C40" s="268"/>
      <c r="D40" s="475">
        <f>(313/(1+'Série Histórica IPCA'!J348-1))</f>
        <v>200.4668414852753</v>
      </c>
      <c r="E40" s="302" t="s">
        <v>330</v>
      </c>
      <c r="F40" s="258" t="s">
        <v>434</v>
      </c>
      <c r="G40" s="259"/>
      <c r="H40" s="269" t="s">
        <v>689</v>
      </c>
      <c r="P40" s="454"/>
    </row>
    <row r="41" spans="2:17" ht="18" customHeight="1" thickBot="1">
      <c r="B41" s="271" t="s">
        <v>506</v>
      </c>
      <c r="C41" s="259"/>
      <c r="D41" s="269" t="s">
        <v>330</v>
      </c>
      <c r="L41" s="422"/>
      <c r="M41" s="436"/>
    </row>
    <row r="42" spans="2:17" ht="18" customHeight="1" thickBot="1">
      <c r="F42" s="775" t="s">
        <v>596</v>
      </c>
      <c r="G42" s="776"/>
      <c r="H42" s="777"/>
    </row>
    <row r="43" spans="2:17" ht="18" customHeight="1" thickBot="1">
      <c r="B43" s="775" t="s">
        <v>580</v>
      </c>
      <c r="C43" s="776"/>
      <c r="D43" s="777"/>
      <c r="F43" s="271" t="s">
        <v>506</v>
      </c>
      <c r="G43" s="259"/>
      <c r="H43" s="269" t="s">
        <v>611</v>
      </c>
    </row>
    <row r="44" spans="2:17" ht="18" customHeight="1" thickBot="1">
      <c r="B44" s="276" t="s">
        <v>507</v>
      </c>
      <c r="C44" s="268"/>
      <c r="D44" s="464">
        <f>IF(D45="Aditivo3",-'Levantamento eixo suspenso ADT3'!I16,IF(D45="Pleito 6",-'Eixo Suspenso Pleito 6'!E20,0%))</f>
        <v>-8.0261282045296936E-2</v>
      </c>
    </row>
    <row r="45" spans="2:17" ht="13.5" thickBot="1">
      <c r="B45" s="271" t="s">
        <v>506</v>
      </c>
      <c r="C45" s="259"/>
      <c r="D45" s="269" t="s">
        <v>611</v>
      </c>
      <c r="F45" s="679" t="s">
        <v>599</v>
      </c>
      <c r="G45" s="680"/>
      <c r="H45" s="681"/>
    </row>
    <row r="46" spans="2:17" ht="13.5" thickBot="1">
      <c r="F46" s="271" t="s">
        <v>506</v>
      </c>
      <c r="G46" s="259"/>
      <c r="H46" s="269" t="s">
        <v>330</v>
      </c>
    </row>
    <row r="47" spans="2:17" ht="13.5" thickBot="1">
      <c r="B47" s="679" t="s">
        <v>647</v>
      </c>
      <c r="C47" s="680"/>
      <c r="D47" s="681"/>
    </row>
    <row r="48" spans="2:17" ht="13.5" thickBot="1">
      <c r="B48" s="271" t="s">
        <v>506</v>
      </c>
      <c r="C48" s="678"/>
      <c r="D48" s="693" t="s">
        <v>329</v>
      </c>
      <c r="F48" s="775" t="s">
        <v>597</v>
      </c>
      <c r="G48" s="776"/>
      <c r="H48" s="777"/>
      <c r="Q48" s="290"/>
    </row>
    <row r="49" spans="2:17" ht="13.5" thickBot="1">
      <c r="E49" s="664"/>
      <c r="F49" s="271" t="s">
        <v>506</v>
      </c>
      <c r="G49" s="259"/>
      <c r="H49" s="269" t="s">
        <v>611</v>
      </c>
      <c r="M49" s="290"/>
      <c r="N49" s="290"/>
      <c r="O49" s="290"/>
      <c r="P49" s="290"/>
      <c r="Q49" s="290"/>
    </row>
    <row r="50" spans="2:17" ht="13.5" thickBot="1">
      <c r="B50" s="787"/>
      <c r="C50" s="396"/>
      <c r="D50" s="396"/>
      <c r="E50" s="664"/>
      <c r="M50" s="290"/>
      <c r="N50" s="290"/>
      <c r="O50" s="290"/>
      <c r="P50" s="290"/>
      <c r="Q50" s="290"/>
    </row>
    <row r="51" spans="2:17" ht="13.5" thickBot="1">
      <c r="B51" s="881"/>
      <c r="D51" s="788"/>
      <c r="E51" s="664"/>
      <c r="F51" s="775" t="s">
        <v>667</v>
      </c>
      <c r="G51" s="776"/>
      <c r="H51" s="777"/>
      <c r="M51" s="290"/>
      <c r="N51" s="290"/>
      <c r="O51" s="290"/>
      <c r="P51" s="290"/>
      <c r="Q51" s="290"/>
    </row>
    <row r="52" spans="2:17" ht="13.5" thickBot="1">
      <c r="B52" s="881"/>
      <c r="D52" s="788"/>
      <c r="F52" s="271" t="s">
        <v>506</v>
      </c>
      <c r="G52" s="678"/>
      <c r="H52" s="701" t="s">
        <v>330</v>
      </c>
      <c r="M52" s="290"/>
      <c r="N52" s="290"/>
      <c r="O52" s="290"/>
      <c r="P52" s="290"/>
      <c r="Q52" s="290"/>
    </row>
    <row r="53" spans="2:17" ht="13.5" thickBot="1">
      <c r="B53" s="881"/>
      <c r="D53" s="789"/>
      <c r="M53" s="290"/>
      <c r="N53" s="290"/>
      <c r="O53" s="290"/>
      <c r="P53" s="290"/>
      <c r="Q53" s="290"/>
    </row>
    <row r="54" spans="2:17" ht="13.5" thickBot="1">
      <c r="B54" s="881"/>
      <c r="D54" s="789"/>
      <c r="F54" s="800" t="s">
        <v>1472</v>
      </c>
      <c r="G54" s="801"/>
      <c r="H54" s="802"/>
      <c r="M54" s="290"/>
      <c r="N54" s="290"/>
      <c r="O54" s="290"/>
      <c r="P54" s="290"/>
    </row>
    <row r="55" spans="2:17" ht="13.5" thickBot="1">
      <c r="F55" s="271" t="s">
        <v>1477</v>
      </c>
      <c r="G55" s="259"/>
      <c r="H55" s="701" t="s">
        <v>330</v>
      </c>
    </row>
    <row r="56" spans="2:17">
      <c r="D56" s="764"/>
    </row>
    <row r="57" spans="2:17">
      <c r="D57" s="764"/>
    </row>
    <row r="58" spans="2:17">
      <c r="D58" s="454"/>
    </row>
    <row r="59" spans="2:17">
      <c r="D59" s="279"/>
    </row>
    <row r="60" spans="2:17">
      <c r="D60" s="454"/>
    </row>
    <row r="61" spans="2:17">
      <c r="D61" s="454"/>
    </row>
    <row r="63" spans="2:17">
      <c r="D63" s="279"/>
    </row>
  </sheetData>
  <dataConsolidate/>
  <mergeCells count="2">
    <mergeCell ref="B51:B52"/>
    <mergeCell ref="B53:B54"/>
  </mergeCells>
  <dataValidations count="15">
    <dataValidation type="list" allowBlank="1" showInputMessage="1" showErrorMessage="1" sqref="H46 D33 D41 H52 H55" xr:uid="{00000000-0002-0000-0000-000000000000}">
      <formula1>"Sim,Não"</formula1>
    </dataValidation>
    <dataValidation type="list" showInputMessage="1" showErrorMessage="1" sqref="G14" xr:uid="{00000000-0002-0000-0000-000001000000}">
      <formula1>"PP01,PP02,TOTAL,Não considerado"</formula1>
    </dataValidation>
    <dataValidation type="list" allowBlank="1" showInputMessage="1" showErrorMessage="1" sqref="H25 H28 H22 H37" xr:uid="{00000000-0002-0000-0000-000002000000}">
      <formula1>"Pleito 2,Pleito 3"</formula1>
    </dataValidation>
    <dataValidation type="list" allowBlank="1" showInputMessage="1" showErrorMessage="1" sqref="D45" xr:uid="{00000000-0002-0000-0000-000003000000}">
      <formula1>"Não,Aditivo3,Pleito 6"</formula1>
    </dataValidation>
    <dataValidation type="list" allowBlank="1" showInputMessage="1" showErrorMessage="1" sqref="H19" xr:uid="{00000000-0002-0000-0000-000004000000}">
      <formula1>"Pleito 2,Pleito 5, Pleito 7"</formula1>
    </dataValidation>
    <dataValidation type="list" allowBlank="1" showInputMessage="1" showErrorMessage="1" sqref="H31" xr:uid="{00000000-0002-0000-0000-000006000000}">
      <formula1>"Pleito 2,Pleito 3,Pleito 6"</formula1>
    </dataValidation>
    <dataValidation type="list" allowBlank="1" showInputMessage="1" showErrorMessage="1" sqref="H43" xr:uid="{00000000-0002-0000-0000-000007000000}">
      <formula1>"Pleito 3,Pleito 6"</formula1>
    </dataValidation>
    <dataValidation type="list" allowBlank="1" showInputMessage="1" showErrorMessage="1" sqref="H49" xr:uid="{599DEC21-AB43-492B-AF7B-43217CED6D14}">
      <formula1>"Aditivo 2,Aditivo 3,Pleito 6"</formula1>
    </dataValidation>
    <dataValidation type="list" allowBlank="1" showInputMessage="1" showErrorMessage="1" sqref="D48" xr:uid="{8CE25117-8FD7-495E-B113-EBB87B131194}">
      <mc:AlternateContent xmlns:x12ac="http://schemas.microsoft.com/office/spreadsheetml/2011/1/ac" xmlns:mc="http://schemas.openxmlformats.org/markup-compatibility/2006">
        <mc:Choice Requires="x12ac">
          <x12ac:list>Não,"6,4%"</x12ac:list>
        </mc:Choice>
        <mc:Fallback>
          <formula1>"Não,6,4%"</formula1>
        </mc:Fallback>
      </mc:AlternateContent>
    </dataValidation>
    <dataValidation type="list" allowBlank="1" showInputMessage="1" showErrorMessage="1" sqref="D51:D54" xr:uid="{776F4217-AE07-4812-A22A-A88999BB011C}">
      <formula1>#REF!</formula1>
    </dataValidation>
    <dataValidation type="list" allowBlank="1" showInputMessage="1" showErrorMessage="1" sqref="G6:G11" xr:uid="{00000000-0002-0000-0000-000005000000}">
      <formula1>"Apresentada,Aprovada"</formula1>
    </dataValidation>
    <dataValidation type="list" allowBlank="1" showInputMessage="1" showErrorMessage="1" sqref="D20 D23 D26" xr:uid="{71DECC34-602D-421F-BBE4-BCDDBEECF0A6}">
      <formula1>"Pleito 2,Pleito 3,Pleito 6, Pleito 7"</formula1>
    </dataValidation>
    <dataValidation type="list" allowBlank="1" showInputMessage="1" showErrorMessage="1" sqref="H34" xr:uid="{947A186C-503D-45EB-833C-73DA8F25AFE3}">
      <formula1>"Pleito 2,Pleito 3,Pleito 8"</formula1>
    </dataValidation>
    <dataValidation type="list" allowBlank="1" showInputMessage="1" showErrorMessage="1" sqref="D17" xr:uid="{CAC9FC47-D497-401F-8C40-6C57EE8CFE9A}">
      <formula1>"Pleito 3,Pleito 6,Pleito 8"</formula1>
    </dataValidation>
    <dataValidation type="list" allowBlank="1" showInputMessage="1" showErrorMessage="1" sqref="H40" xr:uid="{63FDB017-BFBA-4D6A-96DC-6BC2F7342783}">
      <formula1>"Pleito 2,Pleito 3,Pleito 6,Pleito 8"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  <legacyDrawing r:id="rId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Planilha20">
    <tabColor rgb="FF00B050"/>
  </sheetPr>
  <dimension ref="A1:O450"/>
  <sheetViews>
    <sheetView showGridLines="0" topLeftCell="A425" zoomScaleNormal="100" workbookViewId="0">
      <selection activeCell="J435" sqref="J435:J436"/>
    </sheetView>
  </sheetViews>
  <sheetFormatPr defaultColWidth="9.140625" defaultRowHeight="11.25"/>
  <cols>
    <col min="1" max="2" width="10.7109375" style="341" customWidth="1"/>
    <col min="3" max="3" width="17.42578125" style="388" customWidth="1"/>
    <col min="4" max="4" width="10.7109375" style="341" customWidth="1"/>
    <col min="5" max="5" width="10.140625" style="341" customWidth="1"/>
    <col min="6" max="7" width="10.7109375" style="341" customWidth="1"/>
    <col min="8" max="8" width="10.7109375" style="395" customWidth="1"/>
    <col min="9" max="9" width="9.140625" style="341"/>
    <col min="10" max="10" width="15.140625" style="341" bestFit="1" customWidth="1"/>
    <col min="11" max="16384" width="9.140625" style="341"/>
  </cols>
  <sheetData>
    <row r="1" spans="1:8" s="337" customFormat="1" ht="18" customHeight="1">
      <c r="A1" s="919" t="s">
        <v>461</v>
      </c>
      <c r="B1" s="919"/>
      <c r="C1" s="919"/>
      <c r="D1" s="919"/>
      <c r="E1" s="919"/>
      <c r="F1" s="919"/>
      <c r="G1" s="919"/>
      <c r="H1" s="336"/>
    </row>
    <row r="2" spans="1:8" ht="12" thickBot="1">
      <c r="A2" s="338"/>
      <c r="B2" s="338"/>
      <c r="C2" s="339"/>
      <c r="D2" s="338"/>
      <c r="E2" s="338"/>
      <c r="F2" s="338"/>
      <c r="G2" s="338"/>
      <c r="H2" s="340" t="s">
        <v>462</v>
      </c>
    </row>
    <row r="3" spans="1:8" s="347" customFormat="1" ht="14.25" thickTop="1">
      <c r="A3" s="342"/>
      <c r="B3" s="342"/>
      <c r="C3" s="343"/>
      <c r="D3" s="344"/>
      <c r="E3" s="345"/>
      <c r="F3" s="345" t="s">
        <v>463</v>
      </c>
      <c r="G3" s="345"/>
      <c r="H3" s="346"/>
    </row>
    <row r="4" spans="1:8" s="347" customFormat="1" ht="13.5">
      <c r="A4" s="348" t="s">
        <v>31</v>
      </c>
      <c r="B4" s="349" t="s">
        <v>464</v>
      </c>
      <c r="C4" s="350" t="s">
        <v>465</v>
      </c>
      <c r="D4" s="917" t="s">
        <v>466</v>
      </c>
      <c r="E4" s="917"/>
      <c r="F4" s="917"/>
      <c r="G4" s="917"/>
      <c r="H4" s="917"/>
    </row>
    <row r="5" spans="1:8" s="347" customFormat="1" ht="13.7" customHeight="1">
      <c r="A5" s="348"/>
      <c r="B5" s="349"/>
      <c r="C5" s="351" t="s">
        <v>467</v>
      </c>
      <c r="D5" s="352" t="s">
        <v>468</v>
      </c>
      <c r="E5" s="352">
        <v>3</v>
      </c>
      <c r="F5" s="352">
        <v>6</v>
      </c>
      <c r="G5" s="352" t="s">
        <v>468</v>
      </c>
      <c r="H5" s="353">
        <v>12</v>
      </c>
    </row>
    <row r="6" spans="1:8" s="347" customFormat="1" ht="13.7" customHeight="1" thickBot="1">
      <c r="A6" s="354"/>
      <c r="B6" s="354"/>
      <c r="C6" s="355"/>
      <c r="D6" s="356" t="s">
        <v>464</v>
      </c>
      <c r="E6" s="357" t="s">
        <v>469</v>
      </c>
      <c r="F6" s="357" t="s">
        <v>469</v>
      </c>
      <c r="G6" s="357" t="s">
        <v>31</v>
      </c>
      <c r="H6" s="358" t="s">
        <v>469</v>
      </c>
    </row>
    <row r="7" spans="1:8" ht="6.95" customHeight="1">
      <c r="A7" s="359"/>
      <c r="B7" s="359"/>
      <c r="C7" s="360"/>
      <c r="D7" s="361"/>
      <c r="E7" s="362"/>
      <c r="F7" s="362"/>
      <c r="G7" s="362"/>
      <c r="H7" s="363"/>
    </row>
    <row r="8" spans="1:8" ht="11.25" customHeight="1">
      <c r="A8" s="361">
        <v>1994</v>
      </c>
      <c r="B8" s="364" t="s">
        <v>470</v>
      </c>
      <c r="C8" s="365">
        <v>141.31</v>
      </c>
      <c r="D8" s="365">
        <v>41.31</v>
      </c>
      <c r="E8" s="365">
        <v>162.13</v>
      </c>
      <c r="F8" s="365">
        <v>533.33000000000004</v>
      </c>
      <c r="G8" s="365">
        <v>41.31</v>
      </c>
      <c r="H8" s="366">
        <v>2693.84</v>
      </c>
    </row>
    <row r="9" spans="1:8" ht="11.25" customHeight="1">
      <c r="B9" s="364" t="s">
        <v>471</v>
      </c>
      <c r="C9" s="365">
        <v>198.22</v>
      </c>
      <c r="D9" s="365">
        <v>40.270000000000003</v>
      </c>
      <c r="E9" s="365">
        <v>171.24</v>
      </c>
      <c r="F9" s="365">
        <v>568.16999999999996</v>
      </c>
      <c r="G9" s="365">
        <v>98.22</v>
      </c>
      <c r="H9" s="366">
        <v>3035.71</v>
      </c>
    </row>
    <row r="10" spans="1:8" ht="11.25" customHeight="1">
      <c r="B10" s="364" t="s">
        <v>472</v>
      </c>
      <c r="C10" s="365">
        <v>282.95999999999998</v>
      </c>
      <c r="D10" s="365">
        <v>42.75</v>
      </c>
      <c r="E10" s="365">
        <v>182.96</v>
      </c>
      <c r="F10" s="365">
        <v>602.92999999999995</v>
      </c>
      <c r="G10" s="365">
        <v>182.96</v>
      </c>
      <c r="H10" s="366">
        <v>3417.39</v>
      </c>
    </row>
    <row r="11" spans="1:8" ht="11.25" customHeight="1">
      <c r="B11" s="364" t="s">
        <v>473</v>
      </c>
      <c r="C11" s="365">
        <v>403.73</v>
      </c>
      <c r="D11" s="365">
        <v>42.68</v>
      </c>
      <c r="E11" s="365">
        <v>185.71</v>
      </c>
      <c r="F11" s="365">
        <v>648.91999999999996</v>
      </c>
      <c r="G11" s="365">
        <v>303.73</v>
      </c>
      <c r="H11" s="366">
        <v>3828.49</v>
      </c>
    </row>
    <row r="12" spans="1:8" ht="11.25" customHeight="1">
      <c r="B12" s="364" t="s">
        <v>474</v>
      </c>
      <c r="C12" s="365">
        <v>581.49</v>
      </c>
      <c r="D12" s="365">
        <v>44.03</v>
      </c>
      <c r="E12" s="365">
        <v>193.36</v>
      </c>
      <c r="F12" s="365">
        <v>695.71</v>
      </c>
      <c r="G12" s="365">
        <v>481.49</v>
      </c>
      <c r="H12" s="366">
        <v>4331.1899999999996</v>
      </c>
    </row>
    <row r="13" spans="1:8" ht="11.25" customHeight="1">
      <c r="B13" s="364" t="s">
        <v>475</v>
      </c>
      <c r="C13" s="365">
        <v>857.29</v>
      </c>
      <c r="D13" s="365">
        <v>47.43</v>
      </c>
      <c r="E13" s="365">
        <v>202.97</v>
      </c>
      <c r="F13" s="365">
        <v>757.29</v>
      </c>
      <c r="G13" s="365">
        <v>757.29</v>
      </c>
      <c r="H13" s="366">
        <v>4922.6000000000004</v>
      </c>
    </row>
    <row r="14" spans="1:8" ht="11.25" customHeight="1">
      <c r="B14" s="364" t="s">
        <v>476</v>
      </c>
      <c r="C14" s="365">
        <v>915.93</v>
      </c>
      <c r="D14" s="365">
        <v>6.84</v>
      </c>
      <c r="E14" s="365">
        <v>126.87</v>
      </c>
      <c r="F14" s="365">
        <v>548.16999999999996</v>
      </c>
      <c r="G14" s="365">
        <v>815.93</v>
      </c>
      <c r="H14" s="366">
        <v>4005.08</v>
      </c>
    </row>
    <row r="15" spans="1:8" ht="11.25" customHeight="1">
      <c r="B15" s="364" t="s">
        <v>477</v>
      </c>
      <c r="C15" s="365">
        <v>932.97</v>
      </c>
      <c r="D15" s="365">
        <v>1.86</v>
      </c>
      <c r="E15" s="365">
        <v>60.44</v>
      </c>
      <c r="F15" s="365">
        <v>370.67</v>
      </c>
      <c r="G15" s="365">
        <v>832.97</v>
      </c>
      <c r="H15" s="366">
        <v>3044.89</v>
      </c>
    </row>
    <row r="16" spans="1:8" ht="11.25" customHeight="1">
      <c r="B16" s="364" t="s">
        <v>478</v>
      </c>
      <c r="C16" s="365">
        <v>947.24</v>
      </c>
      <c r="D16" s="365">
        <v>1.53</v>
      </c>
      <c r="E16" s="365">
        <v>10.49</v>
      </c>
      <c r="F16" s="365">
        <v>234.76</v>
      </c>
      <c r="G16" s="365">
        <v>847.24</v>
      </c>
      <c r="H16" s="366">
        <v>2253.15</v>
      </c>
    </row>
    <row r="17" spans="1:8" ht="11.25" customHeight="1">
      <c r="B17" s="364" t="s">
        <v>479</v>
      </c>
      <c r="C17" s="365">
        <v>972.06</v>
      </c>
      <c r="D17" s="365">
        <v>2.62</v>
      </c>
      <c r="E17" s="365">
        <v>6.13</v>
      </c>
      <c r="F17" s="365">
        <v>140.77000000000001</v>
      </c>
      <c r="G17" s="365">
        <v>872.06</v>
      </c>
      <c r="H17" s="366">
        <v>1703.17</v>
      </c>
    </row>
    <row r="18" spans="1:8" ht="11.25" customHeight="1">
      <c r="B18" s="364" t="s">
        <v>480</v>
      </c>
      <c r="C18" s="365">
        <v>999.37</v>
      </c>
      <c r="D18" s="365">
        <v>2.81</v>
      </c>
      <c r="E18" s="365">
        <v>7.12</v>
      </c>
      <c r="F18" s="365">
        <v>71.86</v>
      </c>
      <c r="G18" s="365">
        <v>899.37</v>
      </c>
      <c r="H18" s="366">
        <v>1267.54</v>
      </c>
    </row>
    <row r="19" spans="1:8" ht="11.25" customHeight="1">
      <c r="A19" s="367"/>
      <c r="B19" s="364" t="s">
        <v>481</v>
      </c>
      <c r="C19" s="365">
        <v>1016.46</v>
      </c>
      <c r="D19" s="365">
        <v>1.71</v>
      </c>
      <c r="E19" s="365">
        <v>7.31</v>
      </c>
      <c r="F19" s="365">
        <v>18.57</v>
      </c>
      <c r="G19" s="365">
        <v>916.46</v>
      </c>
      <c r="H19" s="366">
        <v>916.46</v>
      </c>
    </row>
    <row r="20" spans="1:8" ht="6.95" customHeight="1">
      <c r="A20" s="359"/>
      <c r="B20" s="359"/>
      <c r="C20" s="368"/>
      <c r="D20" s="369"/>
      <c r="E20" s="370"/>
      <c r="F20" s="370"/>
      <c r="G20" s="370"/>
      <c r="H20" s="371"/>
    </row>
    <row r="21" spans="1:8" ht="11.25" customHeight="1">
      <c r="A21" s="361">
        <v>1995</v>
      </c>
      <c r="B21" s="364" t="s">
        <v>470</v>
      </c>
      <c r="C21" s="365">
        <v>1033.74</v>
      </c>
      <c r="D21" s="365">
        <v>1.7</v>
      </c>
      <c r="E21" s="365">
        <v>6.35</v>
      </c>
      <c r="F21" s="365">
        <v>12.86</v>
      </c>
      <c r="G21" s="365">
        <v>1.7</v>
      </c>
      <c r="H21" s="366">
        <v>631.54</v>
      </c>
    </row>
    <row r="22" spans="1:8" ht="11.25" customHeight="1">
      <c r="B22" s="364" t="s">
        <v>471</v>
      </c>
      <c r="C22" s="365">
        <v>1044.28</v>
      </c>
      <c r="D22" s="365">
        <v>1.02</v>
      </c>
      <c r="E22" s="365">
        <v>4.49</v>
      </c>
      <c r="F22" s="365">
        <v>11.93</v>
      </c>
      <c r="G22" s="365">
        <v>2.74</v>
      </c>
      <c r="H22" s="366">
        <v>426.83</v>
      </c>
    </row>
    <row r="23" spans="1:8" ht="11.25" customHeight="1">
      <c r="B23" s="364" t="s">
        <v>472</v>
      </c>
      <c r="C23" s="365">
        <v>1060.47</v>
      </c>
      <c r="D23" s="365">
        <v>1.55</v>
      </c>
      <c r="E23" s="365">
        <v>4.33</v>
      </c>
      <c r="F23" s="365">
        <v>11.95</v>
      </c>
      <c r="G23" s="365">
        <v>4.33</v>
      </c>
      <c r="H23" s="366">
        <v>274.77999999999997</v>
      </c>
    </row>
    <row r="24" spans="1:8" ht="11.25" customHeight="1">
      <c r="B24" s="364" t="s">
        <v>473</v>
      </c>
      <c r="C24" s="365">
        <v>1086.24</v>
      </c>
      <c r="D24" s="365">
        <v>2.4300000000000002</v>
      </c>
      <c r="E24" s="365">
        <v>5.08</v>
      </c>
      <c r="F24" s="365">
        <v>11.75</v>
      </c>
      <c r="G24" s="365">
        <v>6.87</v>
      </c>
      <c r="H24" s="366">
        <v>169.05</v>
      </c>
    </row>
    <row r="25" spans="1:8" ht="11.25" customHeight="1">
      <c r="B25" s="364" t="s">
        <v>474</v>
      </c>
      <c r="C25" s="365">
        <v>1115.24</v>
      </c>
      <c r="D25" s="365">
        <v>2.67</v>
      </c>
      <c r="E25" s="365">
        <v>6.8</v>
      </c>
      <c r="F25" s="365">
        <v>11.59</v>
      </c>
      <c r="G25" s="365">
        <v>9.7200000000000006</v>
      </c>
      <c r="H25" s="366">
        <v>91.79</v>
      </c>
    </row>
    <row r="26" spans="1:8" ht="11.25" customHeight="1">
      <c r="B26" s="364" t="s">
        <v>475</v>
      </c>
      <c r="C26" s="365">
        <v>1140.44</v>
      </c>
      <c r="D26" s="365">
        <v>2.2599999999999998</v>
      </c>
      <c r="E26" s="365">
        <v>7.54</v>
      </c>
      <c r="F26" s="365">
        <v>12.2</v>
      </c>
      <c r="G26" s="365">
        <v>12.2</v>
      </c>
      <c r="H26" s="366">
        <v>33.03</v>
      </c>
    </row>
    <row r="27" spans="1:8" ht="11.25" customHeight="1">
      <c r="B27" s="364" t="s">
        <v>476</v>
      </c>
      <c r="C27" s="365">
        <v>1167.3499999999999</v>
      </c>
      <c r="D27" s="365">
        <v>2.36</v>
      </c>
      <c r="E27" s="365">
        <v>7.47</v>
      </c>
      <c r="F27" s="365">
        <v>12.92</v>
      </c>
      <c r="G27" s="365">
        <v>14.84</v>
      </c>
      <c r="H27" s="366">
        <v>27.45</v>
      </c>
    </row>
    <row r="28" spans="1:8" ht="11.25" customHeight="1">
      <c r="B28" s="364" t="s">
        <v>477</v>
      </c>
      <c r="C28" s="365">
        <v>1178.9100000000001</v>
      </c>
      <c r="D28" s="365">
        <v>0.99</v>
      </c>
      <c r="E28" s="365">
        <v>5.71</v>
      </c>
      <c r="F28" s="365">
        <v>12.89</v>
      </c>
      <c r="G28" s="365">
        <v>15.98</v>
      </c>
      <c r="H28" s="366">
        <v>26.36</v>
      </c>
    </row>
    <row r="29" spans="1:8" ht="11.25" customHeight="1">
      <c r="B29" s="364" t="s">
        <v>478</v>
      </c>
      <c r="C29" s="365">
        <v>1190.58</v>
      </c>
      <c r="D29" s="365">
        <v>0.99</v>
      </c>
      <c r="E29" s="365">
        <v>4.4000000000000004</v>
      </c>
      <c r="F29" s="365">
        <v>12.27</v>
      </c>
      <c r="G29" s="365">
        <v>17.13</v>
      </c>
      <c r="H29" s="366">
        <v>25.69</v>
      </c>
    </row>
    <row r="30" spans="1:8" ht="11.25" customHeight="1">
      <c r="B30" s="364" t="s">
        <v>479</v>
      </c>
      <c r="C30" s="365">
        <v>1207.3699999999999</v>
      </c>
      <c r="D30" s="365">
        <v>1.41</v>
      </c>
      <c r="E30" s="365">
        <v>3.43</v>
      </c>
      <c r="F30" s="365">
        <v>11.15</v>
      </c>
      <c r="G30" s="365">
        <v>18.78</v>
      </c>
      <c r="H30" s="366">
        <v>24.21</v>
      </c>
    </row>
    <row r="31" spans="1:8" ht="11.25" customHeight="1">
      <c r="B31" s="364" t="s">
        <v>480</v>
      </c>
      <c r="C31" s="365">
        <v>1225.1199999999999</v>
      </c>
      <c r="D31" s="365">
        <v>1.47</v>
      </c>
      <c r="E31" s="365">
        <v>3.92</v>
      </c>
      <c r="F31" s="365">
        <v>9.85</v>
      </c>
      <c r="G31" s="365">
        <v>20.53</v>
      </c>
      <c r="H31" s="366">
        <v>22.59</v>
      </c>
    </row>
    <row r="32" spans="1:8" ht="11.25" customHeight="1">
      <c r="A32" s="367"/>
      <c r="B32" s="372" t="s">
        <v>481</v>
      </c>
      <c r="C32" s="373">
        <v>1244.23</v>
      </c>
      <c r="D32" s="373">
        <v>1.56</v>
      </c>
      <c r="E32" s="373">
        <v>4.51</v>
      </c>
      <c r="F32" s="373">
        <v>9.1</v>
      </c>
      <c r="G32" s="373">
        <v>22.41</v>
      </c>
      <c r="H32" s="374">
        <v>22.41</v>
      </c>
    </row>
    <row r="33" spans="1:8" ht="6.95" customHeight="1">
      <c r="A33" s="359"/>
      <c r="B33" s="359"/>
      <c r="C33" s="368"/>
      <c r="D33" s="369"/>
      <c r="E33" s="370"/>
      <c r="F33" s="370"/>
      <c r="G33" s="370"/>
      <c r="H33" s="371"/>
    </row>
    <row r="34" spans="1:8" ht="11.25" customHeight="1">
      <c r="A34" s="361">
        <v>1996</v>
      </c>
      <c r="B34" s="364" t="s">
        <v>470</v>
      </c>
      <c r="C34" s="365">
        <v>1260.9000000000001</v>
      </c>
      <c r="D34" s="375">
        <v>1.34</v>
      </c>
      <c r="E34" s="365">
        <v>4.43</v>
      </c>
      <c r="F34" s="375">
        <v>8.01</v>
      </c>
      <c r="G34" s="375">
        <v>1.34</v>
      </c>
      <c r="H34" s="366">
        <v>21.97</v>
      </c>
    </row>
    <row r="35" spans="1:8" ht="11.25" customHeight="1">
      <c r="B35" s="364" t="s">
        <v>471</v>
      </c>
      <c r="C35" s="365">
        <v>1273.8900000000001</v>
      </c>
      <c r="D35" s="375">
        <v>1.03</v>
      </c>
      <c r="E35" s="365">
        <v>3.98</v>
      </c>
      <c r="F35" s="375">
        <v>8.06</v>
      </c>
      <c r="G35" s="375">
        <v>2.38</v>
      </c>
      <c r="H35" s="366">
        <v>21.99</v>
      </c>
    </row>
    <row r="36" spans="1:8" ht="11.25" customHeight="1">
      <c r="B36" s="364" t="s">
        <v>472</v>
      </c>
      <c r="C36" s="365">
        <v>1278.3499999999999</v>
      </c>
      <c r="D36" s="375">
        <v>0.35</v>
      </c>
      <c r="E36" s="365">
        <v>2.74</v>
      </c>
      <c r="F36" s="375">
        <v>7.37</v>
      </c>
      <c r="G36" s="375">
        <v>2.74</v>
      </c>
      <c r="H36" s="366">
        <v>20.55</v>
      </c>
    </row>
    <row r="37" spans="1:8" ht="11.25" customHeight="1">
      <c r="B37" s="364" t="s">
        <v>473</v>
      </c>
      <c r="C37" s="365">
        <v>1294.46</v>
      </c>
      <c r="D37" s="375">
        <v>1.26</v>
      </c>
      <c r="E37" s="365">
        <v>2.66</v>
      </c>
      <c r="F37" s="375">
        <v>7.21</v>
      </c>
      <c r="G37" s="375">
        <v>4.04</v>
      </c>
      <c r="H37" s="366">
        <v>19.170000000000002</v>
      </c>
    </row>
    <row r="38" spans="1:8" ht="11.25" customHeight="1">
      <c r="B38" s="364" t="s">
        <v>474</v>
      </c>
      <c r="C38" s="365">
        <v>1310.25</v>
      </c>
      <c r="D38" s="375">
        <v>1.22</v>
      </c>
      <c r="E38" s="365">
        <v>2.85</v>
      </c>
      <c r="F38" s="365">
        <v>6.95</v>
      </c>
      <c r="G38" s="365">
        <v>5.31</v>
      </c>
      <c r="H38" s="366">
        <v>17.489999999999998</v>
      </c>
    </row>
    <row r="39" spans="1:8" ht="11.25" customHeight="1">
      <c r="B39" s="364" t="s">
        <v>475</v>
      </c>
      <c r="C39" s="365">
        <v>1325.84</v>
      </c>
      <c r="D39" s="375">
        <v>1.19</v>
      </c>
      <c r="E39" s="365">
        <v>3.71</v>
      </c>
      <c r="F39" s="365">
        <v>6.56</v>
      </c>
      <c r="G39" s="365">
        <v>6.56</v>
      </c>
      <c r="H39" s="366">
        <v>16.260000000000002</v>
      </c>
    </row>
    <row r="40" spans="1:8" ht="11.25" customHeight="1">
      <c r="B40" s="364" t="s">
        <v>476</v>
      </c>
      <c r="C40" s="365">
        <v>1340.56</v>
      </c>
      <c r="D40" s="375">
        <v>1.1100000000000001</v>
      </c>
      <c r="E40" s="365">
        <v>3.56</v>
      </c>
      <c r="F40" s="365">
        <v>6.32</v>
      </c>
      <c r="G40" s="365">
        <v>7.74</v>
      </c>
      <c r="H40" s="366">
        <v>14.84</v>
      </c>
    </row>
    <row r="41" spans="1:8" ht="11.25" customHeight="1">
      <c r="B41" s="364" t="s">
        <v>477</v>
      </c>
      <c r="C41" s="365">
        <v>1346.46</v>
      </c>
      <c r="D41" s="375">
        <v>0.44</v>
      </c>
      <c r="E41" s="365">
        <v>2.76</v>
      </c>
      <c r="F41" s="365">
        <v>5.7</v>
      </c>
      <c r="G41" s="365">
        <v>8.2200000000000006</v>
      </c>
      <c r="H41" s="366">
        <v>14.21</v>
      </c>
    </row>
    <row r="42" spans="1:8" ht="11.25" customHeight="1">
      <c r="B42" s="364" t="s">
        <v>478</v>
      </c>
      <c r="C42" s="365">
        <v>1348.48</v>
      </c>
      <c r="D42" s="375">
        <v>0.15</v>
      </c>
      <c r="E42" s="365">
        <v>1.71</v>
      </c>
      <c r="F42" s="365">
        <v>5.49</v>
      </c>
      <c r="G42" s="365">
        <v>8.3800000000000008</v>
      </c>
      <c r="H42" s="366">
        <v>13.26</v>
      </c>
    </row>
    <row r="43" spans="1:8" ht="11.25" customHeight="1">
      <c r="B43" s="364" t="s">
        <v>479</v>
      </c>
      <c r="C43" s="365">
        <v>1352.53</v>
      </c>
      <c r="D43" s="365">
        <v>0.3</v>
      </c>
      <c r="E43" s="365">
        <v>0.89</v>
      </c>
      <c r="F43" s="365">
        <v>4.49</v>
      </c>
      <c r="G43" s="365">
        <v>8.6999999999999993</v>
      </c>
      <c r="H43" s="366">
        <v>12.02</v>
      </c>
    </row>
    <row r="44" spans="1:8" ht="11.25" customHeight="1">
      <c r="B44" s="364" t="s">
        <v>480</v>
      </c>
      <c r="C44" s="365">
        <v>1356.86</v>
      </c>
      <c r="D44" s="375">
        <v>0.32</v>
      </c>
      <c r="E44" s="365">
        <v>0.77</v>
      </c>
      <c r="F44" s="375">
        <v>3.56</v>
      </c>
      <c r="G44" s="375">
        <v>9.0500000000000007</v>
      </c>
      <c r="H44" s="366">
        <v>10.75</v>
      </c>
    </row>
    <row r="45" spans="1:8" ht="11.25" customHeight="1">
      <c r="A45" s="367"/>
      <c r="B45" s="372" t="s">
        <v>481</v>
      </c>
      <c r="C45" s="373">
        <v>1363.24</v>
      </c>
      <c r="D45" s="376">
        <v>0.47</v>
      </c>
      <c r="E45" s="373">
        <v>1.0900000000000001</v>
      </c>
      <c r="F45" s="373">
        <v>2.82</v>
      </c>
      <c r="G45" s="373">
        <v>9.56</v>
      </c>
      <c r="H45" s="374">
        <v>9.56</v>
      </c>
    </row>
    <row r="46" spans="1:8" ht="6.95" customHeight="1">
      <c r="A46" s="359"/>
      <c r="B46" s="359"/>
      <c r="C46" s="368"/>
      <c r="D46" s="369"/>
      <c r="E46" s="370"/>
      <c r="F46" s="370"/>
      <c r="G46" s="370"/>
      <c r="H46" s="371"/>
    </row>
    <row r="47" spans="1:8" ht="11.25" customHeight="1">
      <c r="A47" s="361">
        <v>1997</v>
      </c>
      <c r="B47" s="364" t="s">
        <v>470</v>
      </c>
      <c r="C47" s="365">
        <v>1379.33</v>
      </c>
      <c r="D47" s="375">
        <v>1.18</v>
      </c>
      <c r="E47" s="365">
        <v>1.98</v>
      </c>
      <c r="F47" s="365">
        <v>2.89</v>
      </c>
      <c r="G47" s="365">
        <v>1.18</v>
      </c>
      <c r="H47" s="366">
        <v>9.39</v>
      </c>
    </row>
    <row r="48" spans="1:8" ht="11.25" customHeight="1">
      <c r="B48" s="364" t="s">
        <v>471</v>
      </c>
      <c r="C48" s="365">
        <v>1386.23</v>
      </c>
      <c r="D48" s="365">
        <v>0.5</v>
      </c>
      <c r="E48" s="365">
        <v>2.16</v>
      </c>
      <c r="F48" s="365">
        <v>2.95</v>
      </c>
      <c r="G48" s="365">
        <v>1.69</v>
      </c>
      <c r="H48" s="366">
        <v>8.82</v>
      </c>
    </row>
    <row r="49" spans="1:8" ht="11.25" customHeight="1">
      <c r="B49" s="364" t="s">
        <v>472</v>
      </c>
      <c r="C49" s="365">
        <v>1393.3</v>
      </c>
      <c r="D49" s="375">
        <v>0.51</v>
      </c>
      <c r="E49" s="365">
        <v>2.21</v>
      </c>
      <c r="F49" s="365">
        <v>3.32</v>
      </c>
      <c r="G49" s="365">
        <v>2.21</v>
      </c>
      <c r="H49" s="366">
        <v>8.99</v>
      </c>
    </row>
    <row r="50" spans="1:8" ht="11.25" customHeight="1">
      <c r="B50" s="364" t="s">
        <v>473</v>
      </c>
      <c r="C50" s="365">
        <v>1405.56</v>
      </c>
      <c r="D50" s="375">
        <v>0.88</v>
      </c>
      <c r="E50" s="365">
        <v>1.9</v>
      </c>
      <c r="F50" s="365">
        <v>3.92</v>
      </c>
      <c r="G50" s="365">
        <v>3.1</v>
      </c>
      <c r="H50" s="366">
        <v>8.58</v>
      </c>
    </row>
    <row r="51" spans="1:8" ht="11.25" customHeight="1">
      <c r="B51" s="364" t="s">
        <v>474</v>
      </c>
      <c r="C51" s="365">
        <v>1411.32</v>
      </c>
      <c r="D51" s="375">
        <v>0.41</v>
      </c>
      <c r="E51" s="365">
        <v>1.81</v>
      </c>
      <c r="F51" s="365">
        <v>4.01</v>
      </c>
      <c r="G51" s="365">
        <v>3.53</v>
      </c>
      <c r="H51" s="366">
        <v>7.71</v>
      </c>
    </row>
    <row r="52" spans="1:8" ht="11.25" customHeight="1">
      <c r="B52" s="364" t="s">
        <v>475</v>
      </c>
      <c r="C52" s="365">
        <v>1418.94</v>
      </c>
      <c r="D52" s="375">
        <v>0.54</v>
      </c>
      <c r="E52" s="365">
        <v>1.84</v>
      </c>
      <c r="F52" s="365">
        <v>4.09</v>
      </c>
      <c r="G52" s="365">
        <v>4.09</v>
      </c>
      <c r="H52" s="366">
        <v>7.02</v>
      </c>
    </row>
    <row r="53" spans="1:8" ht="11.25" customHeight="1">
      <c r="B53" s="364" t="s">
        <v>476</v>
      </c>
      <c r="C53" s="365">
        <v>1422.06</v>
      </c>
      <c r="D53" s="375">
        <v>0.22</v>
      </c>
      <c r="E53" s="365">
        <v>1.17</v>
      </c>
      <c r="F53" s="365">
        <v>3.1</v>
      </c>
      <c r="G53" s="365">
        <v>4.3099999999999996</v>
      </c>
      <c r="H53" s="366">
        <v>6.08</v>
      </c>
    </row>
    <row r="54" spans="1:8" ht="11.25" customHeight="1">
      <c r="B54" s="364" t="s">
        <v>477</v>
      </c>
      <c r="C54" s="365">
        <v>1421.78</v>
      </c>
      <c r="D54" s="375">
        <v>-0.02</v>
      </c>
      <c r="E54" s="365">
        <v>0.74</v>
      </c>
      <c r="F54" s="365">
        <v>2.56</v>
      </c>
      <c r="G54" s="365">
        <v>4.29</v>
      </c>
      <c r="H54" s="366">
        <v>5.59</v>
      </c>
    </row>
    <row r="55" spans="1:8" ht="11.25" customHeight="1">
      <c r="B55" s="364" t="s">
        <v>478</v>
      </c>
      <c r="C55" s="365">
        <v>1422.63</v>
      </c>
      <c r="D55" s="375">
        <v>0.06</v>
      </c>
      <c r="E55" s="365">
        <v>0.26</v>
      </c>
      <c r="F55" s="365">
        <v>2.11</v>
      </c>
      <c r="G55" s="365">
        <v>4.3600000000000003</v>
      </c>
      <c r="H55" s="366">
        <v>5.5</v>
      </c>
    </row>
    <row r="56" spans="1:8" ht="11.25" customHeight="1">
      <c r="B56" s="364" t="s">
        <v>479</v>
      </c>
      <c r="C56" s="365">
        <v>1425.9</v>
      </c>
      <c r="D56" s="365">
        <v>0.23</v>
      </c>
      <c r="E56" s="365">
        <v>0.27</v>
      </c>
      <c r="F56" s="365">
        <v>1.45</v>
      </c>
      <c r="G56" s="365">
        <v>4.5999999999999996</v>
      </c>
      <c r="H56" s="366">
        <v>5.42</v>
      </c>
    </row>
    <row r="57" spans="1:8" ht="11.25" customHeight="1">
      <c r="B57" s="364" t="s">
        <v>480</v>
      </c>
      <c r="C57" s="365">
        <v>1428.32</v>
      </c>
      <c r="D57" s="375">
        <v>0.17</v>
      </c>
      <c r="E57" s="365">
        <v>0.46</v>
      </c>
      <c r="F57" s="365">
        <v>1.2</v>
      </c>
      <c r="G57" s="365">
        <v>4.7699999999999996</v>
      </c>
      <c r="H57" s="366">
        <v>5.27</v>
      </c>
    </row>
    <row r="58" spans="1:8" ht="11.25" customHeight="1">
      <c r="A58" s="367"/>
      <c r="B58" s="372" t="s">
        <v>481</v>
      </c>
      <c r="C58" s="373">
        <v>1434.46</v>
      </c>
      <c r="D58" s="376">
        <v>0.43</v>
      </c>
      <c r="E58" s="373">
        <v>0.83</v>
      </c>
      <c r="F58" s="373">
        <v>1.0900000000000001</v>
      </c>
      <c r="G58" s="373">
        <v>5.22</v>
      </c>
      <c r="H58" s="374">
        <v>5.22</v>
      </c>
    </row>
    <row r="59" spans="1:8" ht="6.95" customHeight="1">
      <c r="A59" s="359"/>
      <c r="B59" s="359"/>
      <c r="C59" s="368"/>
      <c r="D59" s="369"/>
      <c r="E59" s="370"/>
      <c r="F59" s="370"/>
      <c r="G59" s="370"/>
      <c r="H59" s="371"/>
    </row>
    <row r="60" spans="1:8" ht="11.25" customHeight="1">
      <c r="A60" s="361">
        <v>1998</v>
      </c>
      <c r="B60" s="364" t="s">
        <v>470</v>
      </c>
      <c r="C60" s="365">
        <v>1444.64</v>
      </c>
      <c r="D60" s="365">
        <v>0.71</v>
      </c>
      <c r="E60" s="365">
        <v>1.31</v>
      </c>
      <c r="F60" s="365">
        <v>1.59</v>
      </c>
      <c r="G60" s="365">
        <v>0.71</v>
      </c>
      <c r="H60" s="366">
        <v>4.7300000000000004</v>
      </c>
    </row>
    <row r="61" spans="1:8" ht="11.25" customHeight="1">
      <c r="B61" s="364" t="s">
        <v>471</v>
      </c>
      <c r="C61" s="365">
        <v>1451.29</v>
      </c>
      <c r="D61" s="365">
        <v>0.46</v>
      </c>
      <c r="E61" s="365">
        <v>1.61</v>
      </c>
      <c r="F61" s="365">
        <v>2.08</v>
      </c>
      <c r="G61" s="365">
        <v>1.17</v>
      </c>
      <c r="H61" s="366">
        <v>4.6900000000000004</v>
      </c>
    </row>
    <row r="62" spans="1:8" ht="11.25" customHeight="1">
      <c r="B62" s="364" t="s">
        <v>472</v>
      </c>
      <c r="C62" s="365">
        <v>1456.22</v>
      </c>
      <c r="D62" s="365">
        <v>0.34</v>
      </c>
      <c r="E62" s="365">
        <v>1.52</v>
      </c>
      <c r="F62" s="365">
        <v>2.36</v>
      </c>
      <c r="G62" s="365">
        <v>1.52</v>
      </c>
      <c r="H62" s="366">
        <v>4.5199999999999996</v>
      </c>
    </row>
    <row r="63" spans="1:8" ht="11.25" customHeight="1">
      <c r="B63" s="364" t="s">
        <v>473</v>
      </c>
      <c r="C63" s="365">
        <v>1459.71</v>
      </c>
      <c r="D63" s="365">
        <v>0.24</v>
      </c>
      <c r="E63" s="365">
        <v>1.04</v>
      </c>
      <c r="F63" s="365">
        <v>2.37</v>
      </c>
      <c r="G63" s="365">
        <v>1.76</v>
      </c>
      <c r="H63" s="366">
        <v>3.85</v>
      </c>
    </row>
    <row r="64" spans="1:8" ht="11.25" customHeight="1">
      <c r="B64" s="364" t="s">
        <v>474</v>
      </c>
      <c r="C64" s="365">
        <v>1467.01</v>
      </c>
      <c r="D64" s="365">
        <v>0.5</v>
      </c>
      <c r="E64" s="365">
        <v>1.08</v>
      </c>
      <c r="F64" s="365">
        <v>2.71</v>
      </c>
      <c r="G64" s="365">
        <v>2.27</v>
      </c>
      <c r="H64" s="366">
        <v>3.95</v>
      </c>
    </row>
    <row r="65" spans="1:8" ht="11.25" customHeight="1">
      <c r="B65" s="364" t="s">
        <v>475</v>
      </c>
      <c r="C65" s="365">
        <v>1467.3</v>
      </c>
      <c r="D65" s="365">
        <v>0.02</v>
      </c>
      <c r="E65" s="365">
        <v>0.76</v>
      </c>
      <c r="F65" s="365">
        <v>2.29</v>
      </c>
      <c r="G65" s="365">
        <v>2.29</v>
      </c>
      <c r="H65" s="366">
        <v>3.41</v>
      </c>
    </row>
    <row r="66" spans="1:8" ht="11.25" customHeight="1">
      <c r="B66" s="364" t="s">
        <v>476</v>
      </c>
      <c r="C66" s="365">
        <v>1465.54</v>
      </c>
      <c r="D66" s="365">
        <v>-0.12</v>
      </c>
      <c r="E66" s="365">
        <v>0.4</v>
      </c>
      <c r="F66" s="365">
        <v>1.45</v>
      </c>
      <c r="G66" s="365">
        <v>2.17</v>
      </c>
      <c r="H66" s="366">
        <v>3.06</v>
      </c>
    </row>
    <row r="67" spans="1:8" ht="11.25" customHeight="1">
      <c r="B67" s="364" t="s">
        <v>477</v>
      </c>
      <c r="C67" s="365">
        <v>1458.07</v>
      </c>
      <c r="D67" s="365">
        <v>-0.51</v>
      </c>
      <c r="E67" s="365">
        <v>-0.61</v>
      </c>
      <c r="F67" s="365">
        <v>0.47</v>
      </c>
      <c r="G67" s="365">
        <v>1.65</v>
      </c>
      <c r="H67" s="366">
        <v>2.5499999999999998</v>
      </c>
    </row>
    <row r="68" spans="1:8" ht="11.25" customHeight="1">
      <c r="A68" s="367"/>
      <c r="B68" s="372" t="s">
        <v>478</v>
      </c>
      <c r="C68" s="373">
        <v>1454.86</v>
      </c>
      <c r="D68" s="373">
        <v>-0.22</v>
      </c>
      <c r="E68" s="373">
        <v>-0.85</v>
      </c>
      <c r="F68" s="373">
        <v>-0.09</v>
      </c>
      <c r="G68" s="365">
        <v>1.42</v>
      </c>
      <c r="H68" s="366">
        <v>2.27</v>
      </c>
    </row>
    <row r="69" spans="1:8" ht="11.25" customHeight="1">
      <c r="A69" s="367"/>
      <c r="B69" s="372" t="s">
        <v>479</v>
      </c>
      <c r="C69" s="373">
        <v>1455.15</v>
      </c>
      <c r="D69" s="373">
        <v>0.02</v>
      </c>
      <c r="E69" s="373">
        <v>-0.71</v>
      </c>
      <c r="F69" s="373">
        <v>-0.31</v>
      </c>
      <c r="G69" s="365">
        <v>1.44</v>
      </c>
      <c r="H69" s="366">
        <v>2.0499999999999998</v>
      </c>
    </row>
    <row r="70" spans="1:8" ht="11.25" customHeight="1">
      <c r="B70" s="364" t="s">
        <v>480</v>
      </c>
      <c r="C70" s="365">
        <v>1453.4</v>
      </c>
      <c r="D70" s="377">
        <v>-0.12</v>
      </c>
      <c r="E70" s="373">
        <v>-0.32</v>
      </c>
      <c r="F70" s="373">
        <v>-0.93</v>
      </c>
      <c r="G70" s="365">
        <v>1.32</v>
      </c>
      <c r="H70" s="366">
        <v>1.76</v>
      </c>
    </row>
    <row r="71" spans="1:8" ht="11.25" customHeight="1">
      <c r="A71" s="367"/>
      <c r="B71" s="372" t="s">
        <v>481</v>
      </c>
      <c r="C71" s="373">
        <v>1458.2</v>
      </c>
      <c r="D71" s="373">
        <v>0.33</v>
      </c>
      <c r="E71" s="373">
        <v>0.23</v>
      </c>
      <c r="F71" s="373">
        <v>-0.62</v>
      </c>
      <c r="G71" s="373">
        <v>1.65</v>
      </c>
      <c r="H71" s="374">
        <v>1.65</v>
      </c>
    </row>
    <row r="72" spans="1:8" ht="6.95" customHeight="1">
      <c r="B72" s="378"/>
      <c r="C72" s="379"/>
      <c r="D72" s="379"/>
      <c r="E72" s="379"/>
      <c r="F72" s="379"/>
      <c r="G72" s="379"/>
      <c r="H72" s="374"/>
    </row>
    <row r="73" spans="1:8" s="337" customFormat="1" ht="6.95" customHeight="1">
      <c r="A73" s="916" t="s">
        <v>482</v>
      </c>
      <c r="B73" s="916"/>
      <c r="C73" s="916"/>
      <c r="D73" s="916"/>
      <c r="E73" s="916"/>
      <c r="F73" s="916"/>
      <c r="G73" s="916"/>
      <c r="H73" s="916"/>
    </row>
    <row r="74" spans="1:8" s="337" customFormat="1" ht="18" customHeight="1">
      <c r="A74" s="919" t="s">
        <v>461</v>
      </c>
      <c r="B74" s="919"/>
      <c r="C74" s="919"/>
      <c r="D74" s="919"/>
      <c r="E74" s="919"/>
      <c r="F74" s="919"/>
      <c r="G74" s="919"/>
      <c r="H74" s="336"/>
    </row>
    <row r="75" spans="1:8" ht="12" thickBot="1">
      <c r="A75" s="338"/>
      <c r="B75" s="338"/>
      <c r="C75" s="339"/>
      <c r="D75" s="338"/>
      <c r="E75" s="338"/>
      <c r="F75" s="338"/>
      <c r="G75" s="338"/>
      <c r="H75" s="340" t="s">
        <v>483</v>
      </c>
    </row>
    <row r="76" spans="1:8" s="347" customFormat="1" ht="14.25" thickTop="1">
      <c r="A76" s="342"/>
      <c r="B76" s="342"/>
      <c r="C76" s="343"/>
      <c r="D76" s="344"/>
      <c r="E76" s="345"/>
      <c r="F76" s="345" t="s">
        <v>463</v>
      </c>
      <c r="G76" s="345"/>
      <c r="H76" s="346"/>
    </row>
    <row r="77" spans="1:8" s="347" customFormat="1" ht="13.5">
      <c r="A77" s="348" t="s">
        <v>31</v>
      </c>
      <c r="B77" s="349" t="s">
        <v>464</v>
      </c>
      <c r="C77" s="350" t="s">
        <v>465</v>
      </c>
      <c r="D77" s="917" t="s">
        <v>466</v>
      </c>
      <c r="E77" s="917"/>
      <c r="F77" s="917"/>
      <c r="G77" s="917"/>
      <c r="H77" s="917"/>
    </row>
    <row r="78" spans="1:8" s="347" customFormat="1" ht="13.7" customHeight="1">
      <c r="A78" s="348"/>
      <c r="B78" s="349"/>
      <c r="C78" s="351" t="s">
        <v>467</v>
      </c>
      <c r="D78" s="352" t="s">
        <v>468</v>
      </c>
      <c r="E78" s="352">
        <v>3</v>
      </c>
      <c r="F78" s="352">
        <v>6</v>
      </c>
      <c r="G78" s="352" t="s">
        <v>468</v>
      </c>
      <c r="H78" s="353">
        <v>12</v>
      </c>
    </row>
    <row r="79" spans="1:8" s="347" customFormat="1" ht="13.7" customHeight="1" thickBot="1">
      <c r="A79" s="354"/>
      <c r="B79" s="354"/>
      <c r="C79" s="355"/>
      <c r="D79" s="356" t="s">
        <v>464</v>
      </c>
      <c r="E79" s="357" t="s">
        <v>469</v>
      </c>
      <c r="F79" s="357" t="s">
        <v>469</v>
      </c>
      <c r="G79" s="357" t="s">
        <v>31</v>
      </c>
      <c r="H79" s="358" t="s">
        <v>469</v>
      </c>
    </row>
    <row r="80" spans="1:8" ht="6.95" customHeight="1">
      <c r="A80" s="359"/>
      <c r="B80" s="359"/>
      <c r="C80" s="360"/>
      <c r="D80" s="361"/>
      <c r="E80" s="362"/>
      <c r="F80" s="362"/>
      <c r="G80" s="362"/>
      <c r="H80" s="363"/>
    </row>
    <row r="81" spans="1:8" ht="11.25" customHeight="1">
      <c r="A81" s="361">
        <v>1999</v>
      </c>
      <c r="B81" s="364" t="s">
        <v>470</v>
      </c>
      <c r="C81" s="365">
        <v>1468.41</v>
      </c>
      <c r="D81" s="377">
        <v>0.7</v>
      </c>
      <c r="E81" s="373">
        <v>0.91</v>
      </c>
      <c r="F81" s="373">
        <v>0.2</v>
      </c>
      <c r="G81" s="373">
        <v>0.7</v>
      </c>
      <c r="H81" s="374">
        <v>1.65</v>
      </c>
    </row>
    <row r="82" spans="1:8" ht="11.25" customHeight="1">
      <c r="B82" s="364" t="s">
        <v>471</v>
      </c>
      <c r="C82" s="365">
        <v>1483.83</v>
      </c>
      <c r="D82" s="365">
        <v>1.05</v>
      </c>
      <c r="E82" s="365">
        <v>2.09</v>
      </c>
      <c r="F82" s="365">
        <v>1.77</v>
      </c>
      <c r="G82" s="365">
        <v>1.76</v>
      </c>
      <c r="H82" s="366">
        <v>2.2400000000000002</v>
      </c>
    </row>
    <row r="83" spans="1:8" ht="11.25" customHeight="1">
      <c r="B83" s="364" t="s">
        <v>472</v>
      </c>
      <c r="C83" s="365">
        <v>1500.15</v>
      </c>
      <c r="D83" s="365">
        <v>1.1000000000000001</v>
      </c>
      <c r="E83" s="365">
        <v>2.88</v>
      </c>
      <c r="F83" s="365">
        <v>3.11</v>
      </c>
      <c r="G83" s="365">
        <v>2.88</v>
      </c>
      <c r="H83" s="366">
        <v>3.02</v>
      </c>
    </row>
    <row r="84" spans="1:8" ht="11.25" customHeight="1">
      <c r="B84" s="364" t="s">
        <v>473</v>
      </c>
      <c r="C84" s="365">
        <v>1508.55</v>
      </c>
      <c r="D84" s="365">
        <v>0.56000000000000005</v>
      </c>
      <c r="E84" s="365">
        <v>2.73</v>
      </c>
      <c r="F84" s="365">
        <v>3.67</v>
      </c>
      <c r="G84" s="365">
        <v>3.45</v>
      </c>
      <c r="H84" s="366">
        <v>3.35</v>
      </c>
    </row>
    <row r="85" spans="1:8" ht="11.25" customHeight="1">
      <c r="B85" s="364" t="s">
        <v>474</v>
      </c>
      <c r="C85" s="365">
        <v>1513.08</v>
      </c>
      <c r="D85" s="365">
        <v>0.3</v>
      </c>
      <c r="E85" s="365">
        <v>1.97</v>
      </c>
      <c r="F85" s="365">
        <v>4.1100000000000003</v>
      </c>
      <c r="G85" s="365">
        <v>3.76</v>
      </c>
      <c r="H85" s="366">
        <v>3.14</v>
      </c>
    </row>
    <row r="86" spans="1:8" ht="11.25" customHeight="1">
      <c r="B86" s="364" t="s">
        <v>475</v>
      </c>
      <c r="C86" s="365">
        <v>1515.95</v>
      </c>
      <c r="D86" s="365">
        <v>0.19</v>
      </c>
      <c r="E86" s="365">
        <v>1.05</v>
      </c>
      <c r="F86" s="365">
        <v>3.96</v>
      </c>
      <c r="G86" s="365">
        <v>3.96</v>
      </c>
      <c r="H86" s="366">
        <v>3.32</v>
      </c>
    </row>
    <row r="87" spans="1:8" ht="11.25" customHeight="1">
      <c r="B87" s="364" t="s">
        <v>476</v>
      </c>
      <c r="C87" s="365">
        <v>1532.47</v>
      </c>
      <c r="D87" s="377">
        <v>1.0900000000000001</v>
      </c>
      <c r="E87" s="373">
        <v>1.59</v>
      </c>
      <c r="F87" s="373">
        <v>4.3600000000000003</v>
      </c>
      <c r="G87" s="373">
        <v>5.09</v>
      </c>
      <c r="H87" s="374">
        <v>4.57</v>
      </c>
    </row>
    <row r="88" spans="1:8" ht="11.25" customHeight="1">
      <c r="B88" s="364" t="s">
        <v>477</v>
      </c>
      <c r="C88" s="365">
        <v>1541.05</v>
      </c>
      <c r="D88" s="365">
        <v>0.56000000000000005</v>
      </c>
      <c r="E88" s="365">
        <v>1.85</v>
      </c>
      <c r="F88" s="365">
        <v>3.86</v>
      </c>
      <c r="G88" s="365">
        <v>5.68</v>
      </c>
      <c r="H88" s="366">
        <v>5.69</v>
      </c>
    </row>
    <row r="89" spans="1:8" ht="11.25" customHeight="1">
      <c r="B89" s="380" t="s">
        <v>478</v>
      </c>
      <c r="C89" s="373">
        <v>1545.83</v>
      </c>
      <c r="D89" s="373">
        <v>0.31</v>
      </c>
      <c r="E89" s="373">
        <v>1.97</v>
      </c>
      <c r="F89" s="373">
        <v>3.05</v>
      </c>
      <c r="G89" s="373">
        <v>6.01</v>
      </c>
      <c r="H89" s="374">
        <v>6.25</v>
      </c>
    </row>
    <row r="90" spans="1:8" ht="11.25" customHeight="1">
      <c r="B90" s="364" t="s">
        <v>479</v>
      </c>
      <c r="C90" s="365">
        <v>1564.23</v>
      </c>
      <c r="D90" s="365">
        <v>1.19</v>
      </c>
      <c r="E90" s="365">
        <v>2.0699999999999998</v>
      </c>
      <c r="F90" s="365">
        <v>3.69</v>
      </c>
      <c r="G90" s="365">
        <v>7.27</v>
      </c>
      <c r="H90" s="366">
        <v>7.5</v>
      </c>
    </row>
    <row r="91" spans="1:8" ht="11.25" customHeight="1">
      <c r="B91" s="364" t="s">
        <v>480</v>
      </c>
      <c r="C91" s="365">
        <v>1579.09</v>
      </c>
      <c r="D91" s="365">
        <v>0.95</v>
      </c>
      <c r="E91" s="365">
        <v>2.4700000000000002</v>
      </c>
      <c r="F91" s="365">
        <v>4.3600000000000003</v>
      </c>
      <c r="G91" s="365">
        <v>8.2899999999999991</v>
      </c>
      <c r="H91" s="366">
        <v>8.65</v>
      </c>
    </row>
    <row r="92" spans="1:8" ht="11.25" customHeight="1">
      <c r="A92" s="367"/>
      <c r="B92" s="372" t="s">
        <v>481</v>
      </c>
      <c r="C92" s="373">
        <v>1588.56</v>
      </c>
      <c r="D92" s="373">
        <v>0.6</v>
      </c>
      <c r="E92" s="373">
        <v>2.76</v>
      </c>
      <c r="F92" s="373">
        <v>4.79</v>
      </c>
      <c r="G92" s="373">
        <v>8.94</v>
      </c>
      <c r="H92" s="374">
        <v>8.94</v>
      </c>
    </row>
    <row r="93" spans="1:8" ht="6.95" customHeight="1">
      <c r="A93" s="359"/>
      <c r="B93" s="359"/>
      <c r="C93" s="368"/>
      <c r="D93" s="369"/>
      <c r="E93" s="370"/>
      <c r="F93" s="370"/>
      <c r="G93" s="370"/>
      <c r="H93" s="371"/>
    </row>
    <row r="94" spans="1:8" ht="11.25" customHeight="1">
      <c r="A94" s="361">
        <v>2000</v>
      </c>
      <c r="B94" s="364" t="s">
        <v>470</v>
      </c>
      <c r="C94" s="365">
        <v>1598.41</v>
      </c>
      <c r="D94" s="377">
        <v>0.62</v>
      </c>
      <c r="E94" s="373">
        <v>2.19</v>
      </c>
      <c r="F94" s="373">
        <v>4.3</v>
      </c>
      <c r="G94" s="373">
        <v>0.62</v>
      </c>
      <c r="H94" s="374">
        <v>8.85</v>
      </c>
    </row>
    <row r="95" spans="1:8" ht="11.25" customHeight="1">
      <c r="B95" s="364" t="s">
        <v>471</v>
      </c>
      <c r="C95" s="377">
        <v>1600.49</v>
      </c>
      <c r="D95" s="377">
        <v>0.13</v>
      </c>
      <c r="E95" s="373">
        <v>1.36</v>
      </c>
      <c r="F95" s="376">
        <v>3.86</v>
      </c>
      <c r="G95" s="373">
        <v>0.75</v>
      </c>
      <c r="H95" s="374">
        <v>7.86</v>
      </c>
    </row>
    <row r="96" spans="1:8" ht="11.25" customHeight="1">
      <c r="B96" s="364" t="s">
        <v>472</v>
      </c>
      <c r="C96" s="365">
        <v>1604.01</v>
      </c>
      <c r="D96" s="381">
        <v>0.22</v>
      </c>
      <c r="E96" s="382">
        <v>0.97</v>
      </c>
      <c r="F96" s="383">
        <v>3.76</v>
      </c>
      <c r="G96" s="382">
        <v>0.97</v>
      </c>
      <c r="H96" s="374">
        <v>6.92</v>
      </c>
    </row>
    <row r="97" spans="1:8" ht="11.25" customHeight="1">
      <c r="B97" s="364" t="s">
        <v>473</v>
      </c>
      <c r="C97" s="365">
        <v>1610.75</v>
      </c>
      <c r="D97" s="365">
        <v>0.42</v>
      </c>
      <c r="E97" s="365">
        <v>0.77</v>
      </c>
      <c r="F97" s="375">
        <v>2.97</v>
      </c>
      <c r="G97" s="365">
        <v>1.4</v>
      </c>
      <c r="H97" s="366">
        <v>6.77</v>
      </c>
    </row>
    <row r="98" spans="1:8" ht="11.25" customHeight="1">
      <c r="B98" s="364" t="s">
        <v>474</v>
      </c>
      <c r="C98" s="365">
        <v>1610.91</v>
      </c>
      <c r="D98" s="365">
        <v>0.01</v>
      </c>
      <c r="E98" s="365">
        <v>0.65</v>
      </c>
      <c r="F98" s="375">
        <v>2.02</v>
      </c>
      <c r="G98" s="365">
        <v>1.41</v>
      </c>
      <c r="H98" s="366">
        <v>6.47</v>
      </c>
    </row>
    <row r="99" spans="1:8" ht="11.25" customHeight="1">
      <c r="B99" s="364" t="s">
        <v>475</v>
      </c>
      <c r="C99" s="365">
        <v>1614.62</v>
      </c>
      <c r="D99" s="365">
        <v>0.23</v>
      </c>
      <c r="E99" s="365">
        <v>0.66</v>
      </c>
      <c r="F99" s="375">
        <v>1.64</v>
      </c>
      <c r="G99" s="365">
        <v>1.64</v>
      </c>
      <c r="H99" s="366">
        <v>6.51</v>
      </c>
    </row>
    <row r="100" spans="1:8" ht="11.25" customHeight="1">
      <c r="B100" s="364" t="s">
        <v>476</v>
      </c>
      <c r="C100" s="365">
        <v>1640.62</v>
      </c>
      <c r="D100" s="377">
        <v>1.61</v>
      </c>
      <c r="E100" s="373">
        <v>1.85</v>
      </c>
      <c r="F100" s="373">
        <v>2.64</v>
      </c>
      <c r="G100" s="373">
        <v>3.28</v>
      </c>
      <c r="H100" s="374">
        <v>7.06</v>
      </c>
    </row>
    <row r="101" spans="1:8" ht="11.25" customHeight="1">
      <c r="B101" s="364" t="s">
        <v>477</v>
      </c>
      <c r="C101" s="365">
        <v>1662.11</v>
      </c>
      <c r="D101" s="365">
        <v>1.31</v>
      </c>
      <c r="E101" s="365">
        <v>3.18</v>
      </c>
      <c r="F101" s="365">
        <v>3.85</v>
      </c>
      <c r="G101" s="365">
        <v>4.63</v>
      </c>
      <c r="H101" s="366">
        <v>7.86</v>
      </c>
    </row>
    <row r="102" spans="1:8" ht="11.25" customHeight="1">
      <c r="A102" s="367"/>
      <c r="B102" s="372" t="s">
        <v>478</v>
      </c>
      <c r="C102" s="373">
        <v>1665.93</v>
      </c>
      <c r="D102" s="373">
        <v>0.23</v>
      </c>
      <c r="E102" s="373">
        <v>3.18</v>
      </c>
      <c r="F102" s="373">
        <v>3.86</v>
      </c>
      <c r="G102" s="373">
        <v>4.87</v>
      </c>
      <c r="H102" s="374">
        <v>7.77</v>
      </c>
    </row>
    <row r="103" spans="1:8" ht="11.25" customHeight="1">
      <c r="A103" s="367"/>
      <c r="B103" s="372" t="s">
        <v>479</v>
      </c>
      <c r="C103" s="373">
        <v>1668.26</v>
      </c>
      <c r="D103" s="373">
        <v>0.14000000000000001</v>
      </c>
      <c r="E103" s="373">
        <v>1.68</v>
      </c>
      <c r="F103" s="373">
        <v>3.57</v>
      </c>
      <c r="G103" s="373">
        <v>5.0199999999999996</v>
      </c>
      <c r="H103" s="374">
        <v>6.65</v>
      </c>
    </row>
    <row r="104" spans="1:8" ht="11.25" customHeight="1">
      <c r="A104" s="367"/>
      <c r="B104" s="372" t="s">
        <v>480</v>
      </c>
      <c r="C104" s="373">
        <v>1673.6</v>
      </c>
      <c r="D104" s="373">
        <v>0.32</v>
      </c>
      <c r="E104" s="373">
        <v>0.69</v>
      </c>
      <c r="F104" s="373">
        <v>3.89</v>
      </c>
      <c r="G104" s="373">
        <v>5.35</v>
      </c>
      <c r="H104" s="374">
        <v>5.99</v>
      </c>
    </row>
    <row r="105" spans="1:8" ht="11.25" customHeight="1">
      <c r="A105" s="367"/>
      <c r="B105" s="372" t="s">
        <v>481</v>
      </c>
      <c r="C105" s="373">
        <v>1683.47</v>
      </c>
      <c r="D105" s="373">
        <v>0.59</v>
      </c>
      <c r="E105" s="373">
        <v>1.05</v>
      </c>
      <c r="F105" s="373">
        <v>4.26</v>
      </c>
      <c r="G105" s="373">
        <v>5.97</v>
      </c>
      <c r="H105" s="374">
        <v>5.97</v>
      </c>
    </row>
    <row r="106" spans="1:8" ht="6.95" customHeight="1">
      <c r="A106" s="359"/>
      <c r="B106" s="359"/>
      <c r="C106" s="368"/>
      <c r="D106" s="369"/>
      <c r="E106" s="370"/>
      <c r="F106" s="370"/>
      <c r="G106" s="370"/>
      <c r="H106" s="371"/>
    </row>
    <row r="107" spans="1:8" ht="11.25" customHeight="1">
      <c r="A107" s="361">
        <v>2001</v>
      </c>
      <c r="B107" s="364" t="s">
        <v>470</v>
      </c>
      <c r="C107" s="365">
        <v>1693.07</v>
      </c>
      <c r="D107" s="377">
        <v>0.56999999999999995</v>
      </c>
      <c r="E107" s="373">
        <v>1.49</v>
      </c>
      <c r="F107" s="373">
        <v>3.2</v>
      </c>
      <c r="G107" s="373">
        <v>0.56999999999999995</v>
      </c>
      <c r="H107" s="379">
        <v>5.92</v>
      </c>
    </row>
    <row r="108" spans="1:8" ht="11.25" customHeight="1">
      <c r="B108" s="364" t="s">
        <v>471</v>
      </c>
      <c r="C108" s="377">
        <v>1700.86</v>
      </c>
      <c r="D108" s="377">
        <v>0.46</v>
      </c>
      <c r="E108" s="373">
        <v>1.63</v>
      </c>
      <c r="F108" s="373">
        <v>2.33</v>
      </c>
      <c r="G108" s="373">
        <v>1.03</v>
      </c>
      <c r="H108" s="384">
        <v>6.27</v>
      </c>
    </row>
    <row r="109" spans="1:8" ht="11.25" customHeight="1">
      <c r="B109" s="364" t="s">
        <v>472</v>
      </c>
      <c r="C109" s="365">
        <v>1707.32</v>
      </c>
      <c r="D109" s="377">
        <v>0.38</v>
      </c>
      <c r="E109" s="373">
        <v>1.42</v>
      </c>
      <c r="F109" s="373">
        <v>2.48</v>
      </c>
      <c r="G109" s="373">
        <v>1.42</v>
      </c>
      <c r="H109" s="384">
        <v>6.44</v>
      </c>
    </row>
    <row r="110" spans="1:8" ht="11.25" customHeight="1">
      <c r="B110" s="364" t="s">
        <v>473</v>
      </c>
      <c r="C110" s="365">
        <v>1717.22</v>
      </c>
      <c r="D110" s="377">
        <v>0.57999999999999996</v>
      </c>
      <c r="E110" s="373">
        <v>1.43</v>
      </c>
      <c r="F110" s="373">
        <v>2.93</v>
      </c>
      <c r="G110" s="373">
        <v>2</v>
      </c>
      <c r="H110" s="384">
        <v>6.61</v>
      </c>
    </row>
    <row r="111" spans="1:8" ht="11.25" customHeight="1">
      <c r="B111" s="364" t="s">
        <v>474</v>
      </c>
      <c r="C111" s="365">
        <v>1724.26</v>
      </c>
      <c r="D111" s="377">
        <v>0.41</v>
      </c>
      <c r="E111" s="373">
        <v>1.38</v>
      </c>
      <c r="F111" s="373">
        <v>3.03</v>
      </c>
      <c r="G111" s="373">
        <v>2.42</v>
      </c>
      <c r="H111" s="384">
        <v>7.04</v>
      </c>
    </row>
    <row r="112" spans="1:8" ht="11.25" customHeight="1">
      <c r="B112" s="364" t="s">
        <v>475</v>
      </c>
      <c r="C112" s="365">
        <v>1733.23</v>
      </c>
      <c r="D112" s="377">
        <v>0.52</v>
      </c>
      <c r="E112" s="373">
        <v>1.52</v>
      </c>
      <c r="F112" s="373">
        <v>2.96</v>
      </c>
      <c r="G112" s="373">
        <v>2.96</v>
      </c>
      <c r="H112" s="384">
        <v>7.35</v>
      </c>
    </row>
    <row r="113" spans="1:8" ht="11.25" customHeight="1">
      <c r="B113" s="364" t="s">
        <v>476</v>
      </c>
      <c r="C113" s="365">
        <v>1756.28</v>
      </c>
      <c r="D113" s="377">
        <v>1.33</v>
      </c>
      <c r="E113" s="373">
        <v>2.27</v>
      </c>
      <c r="F113" s="373">
        <v>3.73</v>
      </c>
      <c r="G113" s="373">
        <v>4.32</v>
      </c>
      <c r="H113" s="384">
        <v>7.05</v>
      </c>
    </row>
    <row r="114" spans="1:8" ht="11.25" customHeight="1">
      <c r="B114" s="364" t="s">
        <v>477</v>
      </c>
      <c r="C114" s="365">
        <v>1768.57</v>
      </c>
      <c r="D114" s="377">
        <v>0.7</v>
      </c>
      <c r="E114" s="373">
        <v>2.57</v>
      </c>
      <c r="F114" s="373">
        <v>3.98</v>
      </c>
      <c r="G114" s="373">
        <v>5.0599999999999996</v>
      </c>
      <c r="H114" s="379">
        <v>6.41</v>
      </c>
    </row>
    <row r="115" spans="1:8" ht="11.25" customHeight="1">
      <c r="A115" s="367"/>
      <c r="B115" s="372" t="s">
        <v>478</v>
      </c>
      <c r="C115" s="373">
        <v>1773.52</v>
      </c>
      <c r="D115" s="373">
        <v>0.28000000000000003</v>
      </c>
      <c r="E115" s="373">
        <v>2.3199999999999998</v>
      </c>
      <c r="F115" s="373">
        <v>3.88</v>
      </c>
      <c r="G115" s="373">
        <v>5.35</v>
      </c>
      <c r="H115" s="384">
        <v>6.46</v>
      </c>
    </row>
    <row r="116" spans="1:8" ht="11.25" customHeight="1">
      <c r="A116" s="367"/>
      <c r="B116" s="372" t="s">
        <v>479</v>
      </c>
      <c r="C116" s="373">
        <v>1788.24</v>
      </c>
      <c r="D116" s="373">
        <v>0.83</v>
      </c>
      <c r="E116" s="373">
        <v>1.82</v>
      </c>
      <c r="F116" s="373">
        <v>4.1399999999999997</v>
      </c>
      <c r="G116" s="373">
        <v>6.22</v>
      </c>
      <c r="H116" s="384">
        <v>7.19</v>
      </c>
    </row>
    <row r="117" spans="1:8" ht="11.25" customHeight="1">
      <c r="A117" s="367"/>
      <c r="B117" s="372" t="s">
        <v>480</v>
      </c>
      <c r="C117" s="373">
        <v>1800.94</v>
      </c>
      <c r="D117" s="373">
        <v>0.71</v>
      </c>
      <c r="E117" s="373">
        <v>1.83</v>
      </c>
      <c r="F117" s="373">
        <v>4.45</v>
      </c>
      <c r="G117" s="373">
        <v>6.98</v>
      </c>
      <c r="H117" s="384">
        <v>7.61</v>
      </c>
    </row>
    <row r="118" spans="1:8" ht="11.25" customHeight="1">
      <c r="A118" s="367"/>
      <c r="B118" s="372" t="s">
        <v>481</v>
      </c>
      <c r="C118" s="373">
        <v>1812.65</v>
      </c>
      <c r="D118" s="373">
        <v>0.65</v>
      </c>
      <c r="E118" s="377">
        <v>2.21</v>
      </c>
      <c r="F118" s="373">
        <v>4.58</v>
      </c>
      <c r="G118" s="373">
        <v>7.67</v>
      </c>
      <c r="H118" s="384">
        <v>7.67</v>
      </c>
    </row>
    <row r="119" spans="1:8" ht="6.95" customHeight="1">
      <c r="A119" s="359"/>
      <c r="B119" s="359"/>
      <c r="C119" s="368"/>
      <c r="D119" s="369"/>
      <c r="E119" s="370"/>
      <c r="F119" s="370"/>
      <c r="G119" s="370"/>
      <c r="H119" s="371"/>
    </row>
    <row r="120" spans="1:8" ht="11.25" customHeight="1">
      <c r="A120" s="361">
        <v>2002</v>
      </c>
      <c r="B120" s="364" t="s">
        <v>470</v>
      </c>
      <c r="C120" s="365">
        <v>1822.08</v>
      </c>
      <c r="D120" s="377">
        <v>0.52</v>
      </c>
      <c r="E120" s="373">
        <v>1.89</v>
      </c>
      <c r="F120" s="373">
        <v>3.75</v>
      </c>
      <c r="G120" s="373">
        <v>0.52</v>
      </c>
      <c r="H120" s="374">
        <v>7.62</v>
      </c>
    </row>
    <row r="121" spans="1:8" ht="11.25" customHeight="1">
      <c r="B121" s="364" t="s">
        <v>471</v>
      </c>
      <c r="C121" s="365">
        <v>1828.64</v>
      </c>
      <c r="D121" s="365">
        <v>0.36</v>
      </c>
      <c r="E121" s="377">
        <v>1.54</v>
      </c>
      <c r="F121" s="373">
        <v>3.4</v>
      </c>
      <c r="G121" s="373">
        <v>0.88</v>
      </c>
      <c r="H121" s="374">
        <v>7.51</v>
      </c>
    </row>
    <row r="122" spans="1:8" ht="11.25" customHeight="1">
      <c r="B122" s="364" t="s">
        <v>472</v>
      </c>
      <c r="C122" s="365">
        <v>1839.61</v>
      </c>
      <c r="D122" s="365">
        <v>0.6</v>
      </c>
      <c r="E122" s="377">
        <v>1.49</v>
      </c>
      <c r="F122" s="373">
        <v>3.73</v>
      </c>
      <c r="G122" s="373">
        <v>1.49</v>
      </c>
      <c r="H122" s="374">
        <v>7.75</v>
      </c>
    </row>
    <row r="123" spans="1:8" ht="11.25" customHeight="1">
      <c r="B123" s="364" t="s">
        <v>473</v>
      </c>
      <c r="C123" s="365">
        <v>1854.33</v>
      </c>
      <c r="D123" s="365">
        <v>0.8</v>
      </c>
      <c r="E123" s="377">
        <v>1.77</v>
      </c>
      <c r="F123" s="373">
        <v>3.7</v>
      </c>
      <c r="G123" s="373">
        <v>2.2999999999999998</v>
      </c>
      <c r="H123" s="374">
        <v>7.98</v>
      </c>
    </row>
    <row r="124" spans="1:8" ht="11.25" customHeight="1">
      <c r="B124" s="364" t="s">
        <v>474</v>
      </c>
      <c r="C124" s="365">
        <v>1858.22</v>
      </c>
      <c r="D124" s="365">
        <v>0.21</v>
      </c>
      <c r="E124" s="377">
        <v>1.62</v>
      </c>
      <c r="F124" s="373">
        <v>3.18</v>
      </c>
      <c r="G124" s="373">
        <v>2.5099999999999998</v>
      </c>
      <c r="H124" s="374">
        <v>7.77</v>
      </c>
    </row>
    <row r="125" spans="1:8" ht="11.25" customHeight="1">
      <c r="B125" s="364" t="s">
        <v>475</v>
      </c>
      <c r="C125" s="365">
        <v>1866.02</v>
      </c>
      <c r="D125" s="365">
        <v>0.42</v>
      </c>
      <c r="E125" s="377">
        <v>1.44</v>
      </c>
      <c r="F125" s="373">
        <v>2.94</v>
      </c>
      <c r="G125" s="373">
        <v>2.94</v>
      </c>
      <c r="H125" s="374">
        <v>7.66</v>
      </c>
    </row>
    <row r="126" spans="1:8" ht="11.25" customHeight="1">
      <c r="B126" s="364" t="s">
        <v>476</v>
      </c>
      <c r="C126" s="365">
        <v>1888.23</v>
      </c>
      <c r="D126" s="365">
        <v>1.19</v>
      </c>
      <c r="E126" s="377">
        <v>1.83</v>
      </c>
      <c r="F126" s="373">
        <v>3.63</v>
      </c>
      <c r="G126" s="365">
        <v>4.17</v>
      </c>
      <c r="H126" s="366">
        <v>7.51</v>
      </c>
    </row>
    <row r="127" spans="1:8" ht="11.25" customHeight="1">
      <c r="B127" s="364" t="s">
        <v>477</v>
      </c>
      <c r="C127" s="365">
        <v>1900.5</v>
      </c>
      <c r="D127" s="365">
        <v>0.65</v>
      </c>
      <c r="E127" s="377">
        <v>2.2799999999999998</v>
      </c>
      <c r="F127" s="373">
        <v>3.93</v>
      </c>
      <c r="G127" s="365">
        <v>4.8499999999999996</v>
      </c>
      <c r="H127" s="366">
        <v>7.46</v>
      </c>
    </row>
    <row r="128" spans="1:8" ht="11.25" customHeight="1">
      <c r="A128" s="367"/>
      <c r="B128" s="372" t="s">
        <v>478</v>
      </c>
      <c r="C128" s="373">
        <v>1914.18</v>
      </c>
      <c r="D128" s="373">
        <v>0.72</v>
      </c>
      <c r="E128" s="377">
        <v>2.58</v>
      </c>
      <c r="F128" s="373">
        <v>4.05</v>
      </c>
      <c r="G128" s="365">
        <v>5.6</v>
      </c>
      <c r="H128" s="366">
        <v>7.93</v>
      </c>
    </row>
    <row r="129" spans="1:8" ht="11.25" customHeight="1">
      <c r="A129" s="367"/>
      <c r="B129" s="372" t="s">
        <v>479</v>
      </c>
      <c r="C129" s="373">
        <v>1939.26</v>
      </c>
      <c r="D129" s="373">
        <v>1.31</v>
      </c>
      <c r="E129" s="377">
        <v>2.7</v>
      </c>
      <c r="F129" s="373">
        <v>4.58</v>
      </c>
      <c r="G129" s="365">
        <v>6.98</v>
      </c>
      <c r="H129" s="366">
        <v>8.4499999999999993</v>
      </c>
    </row>
    <row r="130" spans="1:8" ht="11.25" customHeight="1">
      <c r="B130" s="364" t="s">
        <v>480</v>
      </c>
      <c r="C130" s="365">
        <v>1997.83</v>
      </c>
      <c r="D130" s="377">
        <v>3.02</v>
      </c>
      <c r="E130" s="377">
        <v>5.12</v>
      </c>
      <c r="F130" s="373">
        <v>7.51</v>
      </c>
      <c r="G130" s="365">
        <v>10.220000000000001</v>
      </c>
      <c r="H130" s="366">
        <v>10.93</v>
      </c>
    </row>
    <row r="131" spans="1:8" ht="11.25" customHeight="1">
      <c r="A131" s="367"/>
      <c r="B131" s="372" t="s">
        <v>481</v>
      </c>
      <c r="C131" s="373">
        <v>2039.78</v>
      </c>
      <c r="D131" s="373">
        <v>2.1</v>
      </c>
      <c r="E131" s="377">
        <v>6.56</v>
      </c>
      <c r="F131" s="373">
        <v>9.31</v>
      </c>
      <c r="G131" s="365">
        <v>12.53</v>
      </c>
      <c r="H131" s="366">
        <v>12.53</v>
      </c>
    </row>
    <row r="132" spans="1:8" ht="6.95" customHeight="1">
      <c r="A132" s="359"/>
      <c r="B132" s="359"/>
      <c r="C132" s="368"/>
      <c r="D132" s="369"/>
      <c r="E132" s="370"/>
      <c r="F132" s="370"/>
      <c r="G132" s="370"/>
      <c r="H132" s="371"/>
    </row>
    <row r="133" spans="1:8" ht="11.25" customHeight="1">
      <c r="A133" s="361">
        <v>2003</v>
      </c>
      <c r="B133" s="364" t="s">
        <v>470</v>
      </c>
      <c r="C133" s="365">
        <v>2085.6799999999998</v>
      </c>
      <c r="D133" s="377">
        <v>2.25</v>
      </c>
      <c r="E133" s="377">
        <v>7.55</v>
      </c>
      <c r="F133" s="373">
        <v>10.46</v>
      </c>
      <c r="G133" s="373">
        <v>2.25</v>
      </c>
      <c r="H133" s="366">
        <v>14.47</v>
      </c>
    </row>
    <row r="134" spans="1:8" ht="11.25" customHeight="1">
      <c r="B134" s="364" t="s">
        <v>471</v>
      </c>
      <c r="C134" s="365">
        <v>2118.4299999999998</v>
      </c>
      <c r="D134" s="365">
        <v>1.57</v>
      </c>
      <c r="E134" s="377">
        <v>6.04</v>
      </c>
      <c r="F134" s="373">
        <v>11.47</v>
      </c>
      <c r="G134" s="373">
        <v>3.86</v>
      </c>
      <c r="H134" s="366">
        <v>15.85</v>
      </c>
    </row>
    <row r="135" spans="1:8" ht="11.25" customHeight="1">
      <c r="B135" s="364" t="s">
        <v>472</v>
      </c>
      <c r="C135" s="365">
        <v>2144.4899999999998</v>
      </c>
      <c r="D135" s="365">
        <v>1.23</v>
      </c>
      <c r="E135" s="377">
        <v>5.13</v>
      </c>
      <c r="F135" s="373">
        <v>12.03</v>
      </c>
      <c r="G135" s="373">
        <v>5.13</v>
      </c>
      <c r="H135" s="366">
        <v>16.57</v>
      </c>
    </row>
    <row r="136" spans="1:8" ht="11.25" customHeight="1">
      <c r="B136" s="364" t="s">
        <v>473</v>
      </c>
      <c r="C136" s="365">
        <v>2165.29</v>
      </c>
      <c r="D136" s="365">
        <v>0.97</v>
      </c>
      <c r="E136" s="377">
        <v>3.82</v>
      </c>
      <c r="F136" s="373">
        <v>11.66</v>
      </c>
      <c r="G136" s="373">
        <v>6.15</v>
      </c>
      <c r="H136" s="366">
        <v>16.77</v>
      </c>
    </row>
    <row r="137" spans="1:8" ht="11.25" customHeight="1">
      <c r="B137" s="364" t="s">
        <v>474</v>
      </c>
      <c r="C137" s="365">
        <v>2178.5</v>
      </c>
      <c r="D137" s="365">
        <v>0.61</v>
      </c>
      <c r="E137" s="377">
        <v>2.84</v>
      </c>
      <c r="F137" s="373">
        <v>9.0399999999999991</v>
      </c>
      <c r="G137" s="373">
        <v>6.8</v>
      </c>
      <c r="H137" s="366">
        <v>17.239999999999998</v>
      </c>
    </row>
    <row r="138" spans="1:8" ht="11.25" customHeight="1">
      <c r="B138" s="364" t="s">
        <v>475</v>
      </c>
      <c r="C138" s="365">
        <v>2175.23</v>
      </c>
      <c r="D138" s="365">
        <v>-0.15</v>
      </c>
      <c r="E138" s="377">
        <v>1.43</v>
      </c>
      <c r="F138" s="373">
        <v>6.64</v>
      </c>
      <c r="G138" s="373">
        <v>6.64</v>
      </c>
      <c r="H138" s="366">
        <v>16.57</v>
      </c>
    </row>
    <row r="139" spans="1:8" ht="11.25" customHeight="1">
      <c r="B139" s="364" t="s">
        <v>476</v>
      </c>
      <c r="C139" s="365">
        <v>2179.58</v>
      </c>
      <c r="D139" s="365">
        <v>0.2</v>
      </c>
      <c r="E139" s="377">
        <v>0.66</v>
      </c>
      <c r="F139" s="373">
        <v>4.5</v>
      </c>
      <c r="G139" s="373">
        <v>6.85</v>
      </c>
      <c r="H139" s="366">
        <v>15.43</v>
      </c>
    </row>
    <row r="140" spans="1:8" ht="11.25" customHeight="1">
      <c r="B140" s="364" t="s">
        <v>477</v>
      </c>
      <c r="C140" s="365">
        <v>2186.9899999999998</v>
      </c>
      <c r="D140" s="365">
        <v>0.34</v>
      </c>
      <c r="E140" s="377">
        <v>0.39</v>
      </c>
      <c r="F140" s="373">
        <v>3.24</v>
      </c>
      <c r="G140" s="373">
        <v>7.22</v>
      </c>
      <c r="H140" s="366">
        <v>15.07</v>
      </c>
    </row>
    <row r="141" spans="1:8" ht="11.25" customHeight="1">
      <c r="A141" s="367"/>
      <c r="B141" s="372" t="s">
        <v>478</v>
      </c>
      <c r="C141" s="373">
        <v>2204.0500000000002</v>
      </c>
      <c r="D141" s="373">
        <v>0.78</v>
      </c>
      <c r="E141" s="377">
        <v>1.32</v>
      </c>
      <c r="F141" s="373">
        <v>2.78</v>
      </c>
      <c r="G141" s="373">
        <v>8.0500000000000007</v>
      </c>
      <c r="H141" s="366">
        <v>15.14</v>
      </c>
    </row>
    <row r="142" spans="1:8" ht="11.25" customHeight="1">
      <c r="A142" s="367"/>
      <c r="B142" s="372" t="s">
        <v>479</v>
      </c>
      <c r="C142" s="373">
        <v>2210.44</v>
      </c>
      <c r="D142" s="373">
        <v>0.28999999999999998</v>
      </c>
      <c r="E142" s="377">
        <v>1.42</v>
      </c>
      <c r="F142" s="373">
        <v>2.09</v>
      </c>
      <c r="G142" s="373">
        <v>8.3699999999999992</v>
      </c>
      <c r="H142" s="366">
        <v>13.98</v>
      </c>
    </row>
    <row r="143" spans="1:8" ht="11.25" customHeight="1">
      <c r="B143" s="364" t="s">
        <v>480</v>
      </c>
      <c r="C143" s="365">
        <v>2217.96</v>
      </c>
      <c r="D143" s="377">
        <v>0.34</v>
      </c>
      <c r="E143" s="377">
        <v>1.42</v>
      </c>
      <c r="F143" s="373">
        <v>1.81</v>
      </c>
      <c r="G143" s="373">
        <v>8.74</v>
      </c>
      <c r="H143" s="366">
        <v>11.02</v>
      </c>
    </row>
    <row r="144" spans="1:8" ht="11.25" customHeight="1">
      <c r="B144" s="364" t="s">
        <v>481</v>
      </c>
      <c r="C144" s="365">
        <v>2229.4899999999998</v>
      </c>
      <c r="D144" s="377">
        <v>0.52</v>
      </c>
      <c r="E144" s="377">
        <v>1.1499999999999999</v>
      </c>
      <c r="F144" s="373">
        <v>2.4900000000000002</v>
      </c>
      <c r="G144" s="373">
        <v>9.3000000000000007</v>
      </c>
      <c r="H144" s="366">
        <v>9.3000000000000007</v>
      </c>
    </row>
    <row r="145" spans="1:8" ht="6.95" customHeight="1">
      <c r="B145" s="378"/>
      <c r="C145" s="379"/>
      <c r="D145" s="379"/>
      <c r="E145" s="379"/>
      <c r="F145" s="379"/>
      <c r="G145" s="379"/>
      <c r="H145" s="374"/>
    </row>
    <row r="146" spans="1:8" s="337" customFormat="1" ht="6.95" customHeight="1">
      <c r="A146" s="916" t="s">
        <v>482</v>
      </c>
      <c r="B146" s="916"/>
      <c r="C146" s="916"/>
      <c r="D146" s="916"/>
      <c r="E146" s="916"/>
      <c r="F146" s="916"/>
      <c r="G146" s="916"/>
      <c r="H146" s="916"/>
    </row>
    <row r="147" spans="1:8" s="337" customFormat="1" ht="18" customHeight="1">
      <c r="A147" s="919" t="s">
        <v>461</v>
      </c>
      <c r="B147" s="919"/>
      <c r="C147" s="919"/>
      <c r="D147" s="919"/>
      <c r="E147" s="919"/>
      <c r="F147" s="919"/>
      <c r="G147" s="919"/>
      <c r="H147" s="336"/>
    </row>
    <row r="148" spans="1:8" ht="12" thickBot="1">
      <c r="A148" s="338"/>
      <c r="B148" s="338"/>
      <c r="C148" s="339"/>
      <c r="D148" s="338"/>
      <c r="E148" s="338"/>
      <c r="F148" s="338"/>
      <c r="G148" s="338"/>
      <c r="H148" s="340" t="s">
        <v>483</v>
      </c>
    </row>
    <row r="149" spans="1:8" s="347" customFormat="1" ht="14.25" thickTop="1">
      <c r="A149" s="342"/>
      <c r="B149" s="342"/>
      <c r="C149" s="343"/>
      <c r="D149" s="344"/>
      <c r="E149" s="345"/>
      <c r="F149" s="345" t="s">
        <v>463</v>
      </c>
      <c r="G149" s="345"/>
      <c r="H149" s="346"/>
    </row>
    <row r="150" spans="1:8" s="347" customFormat="1" ht="13.5">
      <c r="A150" s="348" t="s">
        <v>31</v>
      </c>
      <c r="B150" s="349" t="s">
        <v>464</v>
      </c>
      <c r="C150" s="350" t="s">
        <v>465</v>
      </c>
      <c r="D150" s="917" t="s">
        <v>466</v>
      </c>
      <c r="E150" s="918"/>
      <c r="F150" s="918"/>
      <c r="G150" s="918"/>
      <c r="H150" s="918"/>
    </row>
    <row r="151" spans="1:8" s="347" customFormat="1" ht="13.7" customHeight="1">
      <c r="A151" s="348"/>
      <c r="B151" s="349"/>
      <c r="C151" s="351" t="s">
        <v>467</v>
      </c>
      <c r="D151" s="352" t="s">
        <v>468</v>
      </c>
      <c r="E151" s="352">
        <v>3</v>
      </c>
      <c r="F151" s="352">
        <v>6</v>
      </c>
      <c r="G151" s="352" t="s">
        <v>468</v>
      </c>
      <c r="H151" s="353">
        <v>12</v>
      </c>
    </row>
    <row r="152" spans="1:8" s="347" customFormat="1" ht="13.7" customHeight="1" thickBot="1">
      <c r="A152" s="354"/>
      <c r="B152" s="354"/>
      <c r="C152" s="355"/>
      <c r="D152" s="356" t="s">
        <v>464</v>
      </c>
      <c r="E152" s="357" t="s">
        <v>469</v>
      </c>
      <c r="F152" s="357" t="s">
        <v>469</v>
      </c>
      <c r="G152" s="357" t="s">
        <v>31</v>
      </c>
      <c r="H152" s="358" t="s">
        <v>469</v>
      </c>
    </row>
    <row r="153" spans="1:8" ht="6.95" customHeight="1">
      <c r="A153" s="359"/>
      <c r="B153" s="359"/>
      <c r="C153" s="360"/>
      <c r="D153" s="361"/>
      <c r="E153" s="362"/>
      <c r="F153" s="362"/>
      <c r="G153" s="362"/>
      <c r="H153" s="363"/>
    </row>
    <row r="154" spans="1:8">
      <c r="A154" s="361">
        <v>2004</v>
      </c>
      <c r="B154" s="380" t="s">
        <v>470</v>
      </c>
      <c r="C154" s="373">
        <v>2246.4299999999998</v>
      </c>
      <c r="D154" s="373">
        <v>0.76</v>
      </c>
      <c r="E154" s="377">
        <v>1.63</v>
      </c>
      <c r="F154" s="373">
        <v>3.07</v>
      </c>
      <c r="G154" s="373">
        <v>0.76</v>
      </c>
      <c r="H154" s="366">
        <v>7.71</v>
      </c>
    </row>
    <row r="155" spans="1:8">
      <c r="A155" s="385"/>
      <c r="B155" s="380" t="s">
        <v>471</v>
      </c>
      <c r="C155" s="373">
        <v>2260.13</v>
      </c>
      <c r="D155" s="373">
        <v>0.61</v>
      </c>
      <c r="E155" s="377">
        <v>1.9</v>
      </c>
      <c r="F155" s="373">
        <v>3.34</v>
      </c>
      <c r="G155" s="373">
        <v>1.37</v>
      </c>
      <c r="H155" s="366">
        <v>6.69</v>
      </c>
    </row>
    <row r="156" spans="1:8">
      <c r="A156" s="386"/>
      <c r="B156" s="380" t="s">
        <v>472</v>
      </c>
      <c r="C156" s="373">
        <v>2270.75</v>
      </c>
      <c r="D156" s="373">
        <v>0.47</v>
      </c>
      <c r="E156" s="377">
        <v>1.85</v>
      </c>
      <c r="F156" s="373">
        <v>3.03</v>
      </c>
      <c r="G156" s="373">
        <v>1.85</v>
      </c>
      <c r="H156" s="366">
        <v>5.89</v>
      </c>
    </row>
    <row r="157" spans="1:8">
      <c r="A157" s="387"/>
      <c r="B157" s="380" t="s">
        <v>473</v>
      </c>
      <c r="C157" s="373">
        <v>2279.15</v>
      </c>
      <c r="D157" s="373">
        <v>0.37</v>
      </c>
      <c r="E157" s="377">
        <v>1.46</v>
      </c>
      <c r="F157" s="373">
        <v>3.11</v>
      </c>
      <c r="G157" s="373">
        <v>2.23</v>
      </c>
      <c r="H157" s="374">
        <v>5.26</v>
      </c>
    </row>
    <row r="158" spans="1:8">
      <c r="A158" s="387"/>
      <c r="B158" s="372" t="s">
        <v>474</v>
      </c>
      <c r="C158" s="373">
        <v>2290.77</v>
      </c>
      <c r="D158" s="373">
        <v>0.51</v>
      </c>
      <c r="E158" s="377">
        <v>1.36</v>
      </c>
      <c r="F158" s="373">
        <v>3.28</v>
      </c>
      <c r="G158" s="373">
        <v>2.75</v>
      </c>
      <c r="H158" s="374">
        <v>5.15</v>
      </c>
    </row>
    <row r="159" spans="1:8">
      <c r="A159" s="387"/>
      <c r="B159" s="372" t="s">
        <v>475</v>
      </c>
      <c r="C159" s="373">
        <v>2307.0300000000002</v>
      </c>
      <c r="D159" s="373">
        <v>0.71</v>
      </c>
      <c r="E159" s="377">
        <v>1.6</v>
      </c>
      <c r="F159" s="373">
        <v>3.48</v>
      </c>
      <c r="G159" s="373">
        <v>3.48</v>
      </c>
      <c r="H159" s="374">
        <v>6.06</v>
      </c>
    </row>
    <row r="160" spans="1:8">
      <c r="A160" s="387"/>
      <c r="B160" s="372" t="s">
        <v>476</v>
      </c>
      <c r="C160" s="373">
        <v>2328.02</v>
      </c>
      <c r="D160" s="373">
        <v>0.91</v>
      </c>
      <c r="E160" s="377">
        <v>2.14</v>
      </c>
      <c r="F160" s="373">
        <v>3.63</v>
      </c>
      <c r="G160" s="373">
        <v>4.42</v>
      </c>
      <c r="H160" s="374">
        <v>6.81</v>
      </c>
    </row>
    <row r="161" spans="1:8">
      <c r="A161" s="387"/>
      <c r="B161" s="372" t="s">
        <v>477</v>
      </c>
      <c r="C161" s="373">
        <v>2344.08</v>
      </c>
      <c r="D161" s="373">
        <v>0.69</v>
      </c>
      <c r="E161" s="377">
        <v>2.33</v>
      </c>
      <c r="F161" s="373">
        <v>3.71</v>
      </c>
      <c r="G161" s="373">
        <v>5.14</v>
      </c>
      <c r="H161" s="374">
        <v>7.18</v>
      </c>
    </row>
    <row r="162" spans="1:8">
      <c r="A162" s="387"/>
      <c r="B162" s="372" t="s">
        <v>478</v>
      </c>
      <c r="C162" s="373">
        <v>2351.8200000000002</v>
      </c>
      <c r="D162" s="373">
        <v>0.33</v>
      </c>
      <c r="E162" s="377">
        <v>1.94</v>
      </c>
      <c r="F162" s="373">
        <v>3.57</v>
      </c>
      <c r="G162" s="373">
        <v>5.49</v>
      </c>
      <c r="H162" s="374">
        <v>6.7</v>
      </c>
    </row>
    <row r="163" spans="1:8">
      <c r="A163" s="387"/>
      <c r="B163" s="372" t="s">
        <v>479</v>
      </c>
      <c r="C163" s="373">
        <v>2362.17</v>
      </c>
      <c r="D163" s="373">
        <v>0.44</v>
      </c>
      <c r="E163" s="377">
        <v>1.47</v>
      </c>
      <c r="F163" s="373">
        <v>3.64</v>
      </c>
      <c r="G163" s="373">
        <v>5.95</v>
      </c>
      <c r="H163" s="374">
        <v>6.86</v>
      </c>
    </row>
    <row r="164" spans="1:8">
      <c r="A164" s="387"/>
      <c r="B164" s="372" t="s">
        <v>480</v>
      </c>
      <c r="C164" s="373">
        <v>2378.4699999999998</v>
      </c>
      <c r="D164" s="373">
        <v>0.69</v>
      </c>
      <c r="E164" s="377">
        <v>1.47</v>
      </c>
      <c r="F164" s="373">
        <v>3.83</v>
      </c>
      <c r="G164" s="373">
        <v>6.68</v>
      </c>
      <c r="H164" s="374">
        <v>7.24</v>
      </c>
    </row>
    <row r="165" spans="1:8">
      <c r="A165" s="387"/>
      <c r="B165" s="372" t="s">
        <v>481</v>
      </c>
      <c r="C165" s="373">
        <v>2398.92</v>
      </c>
      <c r="D165" s="373">
        <v>0.86</v>
      </c>
      <c r="E165" s="377">
        <v>2</v>
      </c>
      <c r="F165" s="373">
        <v>3.98</v>
      </c>
      <c r="G165" s="373">
        <v>7.6</v>
      </c>
      <c r="H165" s="374">
        <v>7.6</v>
      </c>
    </row>
    <row r="166" spans="1:8" ht="6.95" customHeight="1">
      <c r="A166" s="359"/>
      <c r="B166" s="359"/>
      <c r="C166" s="368"/>
      <c r="D166" s="369"/>
      <c r="E166" s="370"/>
      <c r="F166" s="370"/>
      <c r="G166" s="370"/>
      <c r="H166" s="371"/>
    </row>
    <row r="167" spans="1:8">
      <c r="A167" s="361">
        <v>2005</v>
      </c>
      <c r="B167" s="380" t="s">
        <v>470</v>
      </c>
      <c r="C167" s="373">
        <v>2412.83</v>
      </c>
      <c r="D167" s="373">
        <v>0.57999999999999996</v>
      </c>
      <c r="E167" s="377">
        <v>2.14</v>
      </c>
      <c r="F167" s="373">
        <v>3.64</v>
      </c>
      <c r="G167" s="373">
        <v>0.57999999999999996</v>
      </c>
      <c r="H167" s="366">
        <v>7.41</v>
      </c>
    </row>
    <row r="168" spans="1:8">
      <c r="A168" s="385"/>
      <c r="B168" s="380" t="s">
        <v>471</v>
      </c>
      <c r="C168" s="373">
        <v>2427.0700000000002</v>
      </c>
      <c r="D168" s="373">
        <v>0.59</v>
      </c>
      <c r="E168" s="377">
        <v>2.04</v>
      </c>
      <c r="F168" s="373">
        <v>3.54</v>
      </c>
      <c r="G168" s="373">
        <v>1.17</v>
      </c>
      <c r="H168" s="366">
        <v>7.39</v>
      </c>
    </row>
    <row r="169" spans="1:8">
      <c r="A169" s="385"/>
      <c r="B169" s="380" t="s">
        <v>472</v>
      </c>
      <c r="C169" s="373">
        <v>2441.87</v>
      </c>
      <c r="D169" s="373">
        <v>0.61</v>
      </c>
      <c r="E169" s="377">
        <v>1.79</v>
      </c>
      <c r="F169" s="373">
        <v>3.83</v>
      </c>
      <c r="G169" s="373">
        <v>1.79</v>
      </c>
      <c r="H169" s="366">
        <v>7.54</v>
      </c>
    </row>
    <row r="170" spans="1:8">
      <c r="A170" s="387"/>
      <c r="B170" s="380" t="s">
        <v>473</v>
      </c>
      <c r="C170" s="373">
        <v>2463.11</v>
      </c>
      <c r="D170" s="373">
        <v>0.87</v>
      </c>
      <c r="E170" s="377">
        <v>2.08</v>
      </c>
      <c r="F170" s="373">
        <v>4.2699999999999996</v>
      </c>
      <c r="G170" s="373">
        <v>2.68</v>
      </c>
      <c r="H170" s="374">
        <v>8.07</v>
      </c>
    </row>
    <row r="171" spans="1:8">
      <c r="A171" s="387"/>
      <c r="B171" s="380" t="s">
        <v>474</v>
      </c>
      <c r="C171" s="373">
        <v>2475.1799999999998</v>
      </c>
      <c r="D171" s="373">
        <v>0.49</v>
      </c>
      <c r="E171" s="377">
        <v>1.98</v>
      </c>
      <c r="F171" s="373">
        <v>4.07</v>
      </c>
      <c r="G171" s="373">
        <v>3.18</v>
      </c>
      <c r="H171" s="374">
        <v>8.0500000000000007</v>
      </c>
    </row>
    <row r="172" spans="1:8">
      <c r="A172" s="387"/>
      <c r="B172" s="380" t="s">
        <v>475</v>
      </c>
      <c r="C172" s="373">
        <v>2474.6799999999998</v>
      </c>
      <c r="D172" s="373">
        <v>-0.02</v>
      </c>
      <c r="E172" s="377">
        <v>1.34</v>
      </c>
      <c r="F172" s="373">
        <v>3.16</v>
      </c>
      <c r="G172" s="373">
        <v>3.16</v>
      </c>
      <c r="H172" s="374">
        <v>7.27</v>
      </c>
    </row>
    <row r="173" spans="1:8">
      <c r="A173" s="387"/>
      <c r="B173" s="380" t="s">
        <v>476</v>
      </c>
      <c r="C173" s="373">
        <v>2480.87</v>
      </c>
      <c r="D173" s="373">
        <v>0.25</v>
      </c>
      <c r="E173" s="377">
        <v>0.72</v>
      </c>
      <c r="F173" s="373">
        <v>2.82</v>
      </c>
      <c r="G173" s="373">
        <v>3.42</v>
      </c>
      <c r="H173" s="374">
        <v>6.57</v>
      </c>
    </row>
    <row r="174" spans="1:8">
      <c r="A174" s="387"/>
      <c r="B174" s="380" t="s">
        <v>477</v>
      </c>
      <c r="C174" s="373">
        <v>2485.09</v>
      </c>
      <c r="D174" s="373">
        <v>0.17</v>
      </c>
      <c r="E174" s="377">
        <v>0.4</v>
      </c>
      <c r="F174" s="373">
        <v>2.39</v>
      </c>
      <c r="G174" s="373">
        <v>3.59</v>
      </c>
      <c r="H174" s="374">
        <v>6.02</v>
      </c>
    </row>
    <row r="175" spans="1:8">
      <c r="A175" s="387"/>
      <c r="B175" s="380" t="s">
        <v>478</v>
      </c>
      <c r="C175" s="373">
        <v>2493.79</v>
      </c>
      <c r="D175" s="373">
        <v>0.35</v>
      </c>
      <c r="E175" s="377">
        <v>0.77</v>
      </c>
      <c r="F175" s="373">
        <v>2.13</v>
      </c>
      <c r="G175" s="373">
        <v>3.95</v>
      </c>
      <c r="H175" s="374">
        <v>6.04</v>
      </c>
    </row>
    <row r="176" spans="1:8">
      <c r="A176" s="387"/>
      <c r="B176" s="380" t="s">
        <v>479</v>
      </c>
      <c r="C176" s="373">
        <v>2512.4899999999998</v>
      </c>
      <c r="D176" s="373">
        <v>0.75</v>
      </c>
      <c r="E176" s="377">
        <v>1.27</v>
      </c>
      <c r="F176" s="373">
        <v>2</v>
      </c>
      <c r="G176" s="373">
        <v>4.7300000000000004</v>
      </c>
      <c r="H176" s="374">
        <v>6.36</v>
      </c>
    </row>
    <row r="177" spans="1:13">
      <c r="A177" s="387"/>
      <c r="B177" s="380" t="s">
        <v>480</v>
      </c>
      <c r="C177" s="373">
        <v>2526.31</v>
      </c>
      <c r="D177" s="373">
        <v>0.55000000000000004</v>
      </c>
      <c r="E177" s="377">
        <v>1.66</v>
      </c>
      <c r="F177" s="373">
        <v>2.0699999999999998</v>
      </c>
      <c r="G177" s="373">
        <v>5.31</v>
      </c>
      <c r="H177" s="374">
        <v>6.22</v>
      </c>
    </row>
    <row r="178" spans="1:13">
      <c r="A178" s="387"/>
      <c r="B178" s="380" t="s">
        <v>481</v>
      </c>
      <c r="C178" s="373">
        <v>2535.4</v>
      </c>
      <c r="D178" s="373">
        <v>0.36</v>
      </c>
      <c r="E178" s="377">
        <v>1.67</v>
      </c>
      <c r="F178" s="373">
        <v>2.4500000000000002</v>
      </c>
      <c r="G178" s="373">
        <v>5.69</v>
      </c>
      <c r="H178" s="374">
        <v>5.69</v>
      </c>
    </row>
    <row r="179" spans="1:13" ht="6.95" customHeight="1">
      <c r="A179" s="359"/>
      <c r="B179" s="359"/>
      <c r="C179" s="368"/>
      <c r="D179" s="369"/>
      <c r="E179" s="370"/>
      <c r="F179" s="370"/>
      <c r="G179" s="370"/>
      <c r="H179" s="371"/>
    </row>
    <row r="180" spans="1:13">
      <c r="A180" s="361">
        <v>2006</v>
      </c>
      <c r="B180" s="380" t="s">
        <v>470</v>
      </c>
      <c r="C180" s="373">
        <v>2550.36</v>
      </c>
      <c r="D180" s="373">
        <v>0.59</v>
      </c>
      <c r="E180" s="377">
        <v>1.51</v>
      </c>
      <c r="F180" s="373">
        <v>2.8</v>
      </c>
      <c r="G180" s="373">
        <v>0.59</v>
      </c>
      <c r="H180" s="366">
        <v>5.7</v>
      </c>
    </row>
    <row r="181" spans="1:13">
      <c r="A181" s="385"/>
      <c r="B181" s="380" t="s">
        <v>471</v>
      </c>
      <c r="C181" s="373">
        <v>2560.8200000000002</v>
      </c>
      <c r="D181" s="373">
        <v>0.41</v>
      </c>
      <c r="E181" s="377">
        <v>1.37</v>
      </c>
      <c r="F181" s="373">
        <v>3.05</v>
      </c>
      <c r="G181" s="373">
        <v>1</v>
      </c>
      <c r="H181" s="366">
        <v>5.51</v>
      </c>
    </row>
    <row r="182" spans="1:13">
      <c r="A182" s="385"/>
      <c r="B182" s="380" t="s">
        <v>472</v>
      </c>
      <c r="C182" s="373">
        <v>2571.83</v>
      </c>
      <c r="D182" s="373">
        <v>0.43</v>
      </c>
      <c r="E182" s="377">
        <v>1.44</v>
      </c>
      <c r="F182" s="373">
        <v>3.13</v>
      </c>
      <c r="G182" s="373">
        <v>1.44</v>
      </c>
      <c r="H182" s="366">
        <v>5.32</v>
      </c>
    </row>
    <row r="183" spans="1:13">
      <c r="A183" s="387"/>
      <c r="B183" s="380" t="s">
        <v>473</v>
      </c>
      <c r="C183" s="373">
        <v>2577.23</v>
      </c>
      <c r="D183" s="373">
        <v>0.21</v>
      </c>
      <c r="E183" s="377">
        <v>1.05</v>
      </c>
      <c r="F183" s="373">
        <v>2.58</v>
      </c>
      <c r="G183" s="373">
        <v>1.65</v>
      </c>
      <c r="H183" s="366">
        <v>4.63</v>
      </c>
    </row>
    <row r="184" spans="1:13">
      <c r="A184" s="387"/>
      <c r="B184" s="380" t="s">
        <v>474</v>
      </c>
      <c r="C184" s="373">
        <v>2579.81</v>
      </c>
      <c r="D184" s="373">
        <v>0.1</v>
      </c>
      <c r="E184" s="377">
        <v>0.74</v>
      </c>
      <c r="F184" s="373">
        <v>2.12</v>
      </c>
      <c r="G184" s="373">
        <v>1.75</v>
      </c>
      <c r="H184" s="374">
        <v>4.2300000000000004</v>
      </c>
    </row>
    <row r="185" spans="1:13">
      <c r="A185" s="387"/>
      <c r="B185" s="380" t="s">
        <v>475</v>
      </c>
      <c r="C185" s="373">
        <v>2574.39</v>
      </c>
      <c r="D185" s="373">
        <v>-0.21</v>
      </c>
      <c r="E185" s="377">
        <v>0.1</v>
      </c>
      <c r="F185" s="373">
        <v>1.54</v>
      </c>
      <c r="G185" s="373">
        <v>1.54</v>
      </c>
      <c r="H185" s="374">
        <v>4.03</v>
      </c>
    </row>
    <row r="186" spans="1:13">
      <c r="A186" s="387"/>
      <c r="B186" s="380" t="s">
        <v>476</v>
      </c>
      <c r="C186" s="373">
        <v>2579.2800000000002</v>
      </c>
      <c r="D186" s="373">
        <v>0.19</v>
      </c>
      <c r="E186" s="377">
        <v>0.08</v>
      </c>
      <c r="F186" s="373">
        <v>1.1299999999999999</v>
      </c>
      <c r="G186" s="373">
        <v>1.73</v>
      </c>
      <c r="H186" s="374">
        <v>3.97</v>
      </c>
    </row>
    <row r="187" spans="1:13">
      <c r="A187" s="387"/>
      <c r="B187" s="380" t="s">
        <v>477</v>
      </c>
      <c r="C187" s="373">
        <v>2580.5700000000002</v>
      </c>
      <c r="D187" s="373">
        <v>0.05</v>
      </c>
      <c r="E187" s="377">
        <v>0.03</v>
      </c>
      <c r="F187" s="373">
        <v>0.77</v>
      </c>
      <c r="G187" s="373">
        <v>1.78</v>
      </c>
      <c r="H187" s="374">
        <v>3.84</v>
      </c>
    </row>
    <row r="188" spans="1:13">
      <c r="A188" s="387"/>
      <c r="B188" s="380" t="s">
        <v>478</v>
      </c>
      <c r="C188" s="373">
        <v>2585.9899999999998</v>
      </c>
      <c r="D188" s="373">
        <v>0.21</v>
      </c>
      <c r="E188" s="377">
        <v>0.45</v>
      </c>
      <c r="F188" s="373">
        <v>0.55000000000000004</v>
      </c>
      <c r="G188" s="373">
        <v>2</v>
      </c>
      <c r="H188" s="374">
        <v>3.7</v>
      </c>
    </row>
    <row r="189" spans="1:13">
      <c r="A189" s="387"/>
      <c r="B189" s="380" t="s">
        <v>479</v>
      </c>
      <c r="C189" s="373">
        <v>2594.52</v>
      </c>
      <c r="D189" s="373">
        <v>0.33</v>
      </c>
      <c r="E189" s="377">
        <v>0.59</v>
      </c>
      <c r="F189" s="373">
        <v>0.67</v>
      </c>
      <c r="G189" s="373">
        <v>2.33</v>
      </c>
      <c r="H189" s="374">
        <v>3.26</v>
      </c>
      <c r="J189" s="388"/>
      <c r="K189" s="388"/>
      <c r="L189" s="388"/>
      <c r="M189" s="388"/>
    </row>
    <row r="190" spans="1:13">
      <c r="A190" s="387"/>
      <c r="B190" s="380" t="s">
        <v>480</v>
      </c>
      <c r="C190" s="373">
        <v>2602.56</v>
      </c>
      <c r="D190" s="373">
        <v>0.31</v>
      </c>
      <c r="E190" s="377">
        <v>0.85</v>
      </c>
      <c r="F190" s="373">
        <v>0.88</v>
      </c>
      <c r="G190" s="373">
        <v>2.65</v>
      </c>
      <c r="H190" s="374">
        <v>3.02</v>
      </c>
    </row>
    <row r="191" spans="1:13">
      <c r="A191" s="387"/>
      <c r="B191" s="380" t="s">
        <v>481</v>
      </c>
      <c r="C191" s="373">
        <v>2615.0500000000002</v>
      </c>
      <c r="D191" s="373">
        <v>0.48</v>
      </c>
      <c r="E191" s="377">
        <v>1.1200000000000001</v>
      </c>
      <c r="F191" s="373">
        <v>1.58</v>
      </c>
      <c r="G191" s="373">
        <v>3.14</v>
      </c>
      <c r="H191" s="374">
        <v>3.14</v>
      </c>
    </row>
    <row r="192" spans="1:13" ht="6.95" customHeight="1">
      <c r="A192" s="359"/>
      <c r="B192" s="359"/>
      <c r="C192" s="368"/>
      <c r="D192" s="369"/>
      <c r="E192" s="370"/>
      <c r="F192" s="370"/>
      <c r="G192" s="370"/>
      <c r="H192" s="371"/>
    </row>
    <row r="193" spans="1:8">
      <c r="A193" s="361">
        <v>2007</v>
      </c>
      <c r="B193" s="380" t="s">
        <v>470</v>
      </c>
      <c r="C193" s="373">
        <v>2626.56</v>
      </c>
      <c r="D193" s="373">
        <v>0.44</v>
      </c>
      <c r="E193" s="377">
        <v>1.23</v>
      </c>
      <c r="F193" s="373">
        <v>1.83</v>
      </c>
      <c r="G193" s="373">
        <v>0.44</v>
      </c>
      <c r="H193" s="374">
        <v>2.99</v>
      </c>
    </row>
    <row r="194" spans="1:8">
      <c r="A194" s="385"/>
      <c r="B194" s="380" t="s">
        <v>471</v>
      </c>
      <c r="C194" s="373">
        <v>2638.12</v>
      </c>
      <c r="D194" s="373">
        <v>0.44</v>
      </c>
      <c r="E194" s="377">
        <v>1.37</v>
      </c>
      <c r="F194" s="373">
        <v>2.23</v>
      </c>
      <c r="G194" s="373">
        <v>0.88</v>
      </c>
      <c r="H194" s="374">
        <v>3.02</v>
      </c>
    </row>
    <row r="195" spans="1:8">
      <c r="A195" s="385"/>
      <c r="B195" s="380" t="s">
        <v>472</v>
      </c>
      <c r="C195" s="373">
        <v>2647.88</v>
      </c>
      <c r="D195" s="373">
        <v>0.37</v>
      </c>
      <c r="E195" s="377">
        <v>1.26</v>
      </c>
      <c r="F195" s="373">
        <v>2.39</v>
      </c>
      <c r="G195" s="373">
        <v>1.26</v>
      </c>
      <c r="H195" s="374">
        <v>2.96</v>
      </c>
    </row>
    <row r="196" spans="1:8">
      <c r="A196" s="387"/>
      <c r="B196" s="380" t="s">
        <v>473</v>
      </c>
      <c r="C196" s="373">
        <v>2654.5</v>
      </c>
      <c r="D196" s="373">
        <v>0.25</v>
      </c>
      <c r="E196" s="377">
        <v>1.06</v>
      </c>
      <c r="F196" s="373">
        <v>2.31</v>
      </c>
      <c r="G196" s="373">
        <v>1.51</v>
      </c>
      <c r="H196" s="374">
        <v>3</v>
      </c>
    </row>
    <row r="197" spans="1:8">
      <c r="A197" s="387"/>
      <c r="B197" s="380" t="s">
        <v>474</v>
      </c>
      <c r="C197" s="373">
        <v>2661.93</v>
      </c>
      <c r="D197" s="373">
        <v>0.28000000000000003</v>
      </c>
      <c r="E197" s="377">
        <v>0.9</v>
      </c>
      <c r="F197" s="373">
        <v>2.2799999999999998</v>
      </c>
      <c r="G197" s="373">
        <v>1.79</v>
      </c>
      <c r="H197" s="374">
        <v>3.18</v>
      </c>
    </row>
    <row r="198" spans="1:8">
      <c r="A198" s="387"/>
      <c r="B198" s="380" t="s">
        <v>475</v>
      </c>
      <c r="C198" s="373">
        <v>2669.38</v>
      </c>
      <c r="D198" s="373">
        <v>0.28000000000000003</v>
      </c>
      <c r="E198" s="377">
        <v>0.81</v>
      </c>
      <c r="F198" s="373">
        <v>2.08</v>
      </c>
      <c r="G198" s="373">
        <v>2.08</v>
      </c>
      <c r="H198" s="374">
        <v>3.69</v>
      </c>
    </row>
    <row r="199" spans="1:8">
      <c r="A199" s="387"/>
      <c r="B199" s="380" t="s">
        <v>476</v>
      </c>
      <c r="C199" s="373">
        <v>2675.79</v>
      </c>
      <c r="D199" s="373">
        <v>0.24</v>
      </c>
      <c r="E199" s="377">
        <v>0.8</v>
      </c>
      <c r="F199" s="373">
        <v>1.87</v>
      </c>
      <c r="G199" s="373">
        <v>2.3199999999999998</v>
      </c>
      <c r="H199" s="374">
        <v>3.74</v>
      </c>
    </row>
    <row r="200" spans="1:8">
      <c r="A200" s="387"/>
      <c r="B200" s="380" t="s">
        <v>477</v>
      </c>
      <c r="C200" s="373">
        <v>2688.37</v>
      </c>
      <c r="D200" s="373">
        <v>0.47</v>
      </c>
      <c r="E200" s="377">
        <v>0.99</v>
      </c>
      <c r="F200" s="373">
        <v>1.9</v>
      </c>
      <c r="G200" s="373">
        <v>2.8</v>
      </c>
      <c r="H200" s="374">
        <v>4.18</v>
      </c>
    </row>
    <row r="201" spans="1:8">
      <c r="A201" s="387"/>
      <c r="B201" s="380" t="s">
        <v>478</v>
      </c>
      <c r="C201" s="373">
        <v>2693.21</v>
      </c>
      <c r="D201" s="373">
        <v>0.18</v>
      </c>
      <c r="E201" s="377">
        <v>0.89</v>
      </c>
      <c r="F201" s="373">
        <v>1.71</v>
      </c>
      <c r="G201" s="373">
        <v>2.99</v>
      </c>
      <c r="H201" s="374">
        <v>4.1500000000000004</v>
      </c>
    </row>
    <row r="202" spans="1:8">
      <c r="A202" s="387"/>
      <c r="B202" s="380" t="s">
        <v>479</v>
      </c>
      <c r="C202" s="373">
        <v>2701.29</v>
      </c>
      <c r="D202" s="373">
        <v>0.3</v>
      </c>
      <c r="E202" s="377">
        <v>0.95</v>
      </c>
      <c r="F202" s="373">
        <v>1.76</v>
      </c>
      <c r="G202" s="373">
        <v>3.3</v>
      </c>
      <c r="H202" s="374">
        <v>4.12</v>
      </c>
    </row>
    <row r="203" spans="1:8">
      <c r="A203" s="387"/>
      <c r="B203" s="380" t="s">
        <v>480</v>
      </c>
      <c r="C203" s="373">
        <v>2711.55</v>
      </c>
      <c r="D203" s="373">
        <v>0.38</v>
      </c>
      <c r="E203" s="377">
        <v>0.86</v>
      </c>
      <c r="F203" s="373">
        <v>1.86</v>
      </c>
      <c r="G203" s="373">
        <v>3.69</v>
      </c>
      <c r="H203" s="374">
        <v>4.1900000000000004</v>
      </c>
    </row>
    <row r="204" spans="1:8">
      <c r="A204" s="387"/>
      <c r="B204" s="380" t="s">
        <v>481</v>
      </c>
      <c r="C204" s="373">
        <v>2731.62</v>
      </c>
      <c r="D204" s="373">
        <v>0.74</v>
      </c>
      <c r="E204" s="377">
        <v>1.43</v>
      </c>
      <c r="F204" s="373">
        <v>2.33</v>
      </c>
      <c r="G204" s="373">
        <v>4.46</v>
      </c>
      <c r="H204" s="374">
        <v>4.46</v>
      </c>
    </row>
    <row r="205" spans="1:8" ht="6.95" customHeight="1">
      <c r="A205" s="359"/>
      <c r="B205" s="359"/>
      <c r="C205" s="368"/>
      <c r="D205" s="369"/>
      <c r="E205" s="370"/>
      <c r="F205" s="370"/>
      <c r="G205" s="370"/>
      <c r="H205" s="371"/>
    </row>
    <row r="206" spans="1:8">
      <c r="A206" s="361">
        <v>2008</v>
      </c>
      <c r="B206" s="380" t="s">
        <v>470</v>
      </c>
      <c r="C206" s="373">
        <v>2746.37</v>
      </c>
      <c r="D206" s="373">
        <v>0.54</v>
      </c>
      <c r="E206" s="377">
        <v>1.67</v>
      </c>
      <c r="F206" s="373">
        <v>2.64</v>
      </c>
      <c r="G206" s="373">
        <v>0.54</v>
      </c>
      <c r="H206" s="374">
        <v>4.5599999999999996</v>
      </c>
    </row>
    <row r="207" spans="1:8">
      <c r="A207" s="385"/>
      <c r="B207" s="380" t="s">
        <v>471</v>
      </c>
      <c r="C207" s="373">
        <v>2759.83</v>
      </c>
      <c r="D207" s="373">
        <v>0.49</v>
      </c>
      <c r="E207" s="377">
        <v>1.78</v>
      </c>
      <c r="F207" s="373">
        <v>2.66</v>
      </c>
      <c r="G207" s="373">
        <v>1.03</v>
      </c>
      <c r="H207" s="374">
        <v>4.6100000000000003</v>
      </c>
    </row>
    <row r="208" spans="1:8">
      <c r="A208" s="385"/>
      <c r="B208" s="380" t="s">
        <v>472</v>
      </c>
      <c r="C208" s="373">
        <v>2773.08</v>
      </c>
      <c r="D208" s="373">
        <v>0.48</v>
      </c>
      <c r="E208" s="377">
        <v>1.52</v>
      </c>
      <c r="F208" s="373">
        <v>2.97</v>
      </c>
      <c r="G208" s="373">
        <v>1.52</v>
      </c>
      <c r="H208" s="374">
        <v>4.7300000000000004</v>
      </c>
    </row>
    <row r="209" spans="1:9">
      <c r="A209" s="385"/>
      <c r="B209" s="380" t="s">
        <v>473</v>
      </c>
      <c r="C209" s="373">
        <v>2788.33</v>
      </c>
      <c r="D209" s="373">
        <v>0.55000000000000004</v>
      </c>
      <c r="E209" s="377">
        <v>1.53</v>
      </c>
      <c r="F209" s="373">
        <v>3.22</v>
      </c>
      <c r="G209" s="373">
        <v>2.08</v>
      </c>
      <c r="H209" s="374">
        <v>5.04</v>
      </c>
    </row>
    <row r="210" spans="1:9">
      <c r="A210" s="385"/>
      <c r="B210" s="380" t="s">
        <v>474</v>
      </c>
      <c r="C210" s="373">
        <v>2810.36</v>
      </c>
      <c r="D210" s="373">
        <v>0.79</v>
      </c>
      <c r="E210" s="377">
        <v>1.83</v>
      </c>
      <c r="F210" s="373">
        <v>3.64</v>
      </c>
      <c r="G210" s="373">
        <v>2.88</v>
      </c>
      <c r="H210" s="374">
        <v>5.58</v>
      </c>
    </row>
    <row r="211" spans="1:9">
      <c r="A211" s="385"/>
      <c r="B211" s="380" t="s">
        <v>475</v>
      </c>
      <c r="C211" s="373">
        <v>2831.16</v>
      </c>
      <c r="D211" s="373">
        <v>0.74</v>
      </c>
      <c r="E211" s="377">
        <v>2.09</v>
      </c>
      <c r="F211" s="373">
        <v>3.64</v>
      </c>
      <c r="G211" s="373">
        <v>3.64</v>
      </c>
      <c r="H211" s="374">
        <v>6.06</v>
      </c>
    </row>
    <row r="212" spans="1:9">
      <c r="A212" s="385"/>
      <c r="B212" s="380" t="s">
        <v>476</v>
      </c>
      <c r="C212" s="373">
        <v>2846.16</v>
      </c>
      <c r="D212" s="373">
        <v>0.53</v>
      </c>
      <c r="E212" s="377">
        <v>2.0699999999999998</v>
      </c>
      <c r="F212" s="373">
        <v>3.63</v>
      </c>
      <c r="G212" s="373">
        <v>4.1900000000000004</v>
      </c>
      <c r="H212" s="374">
        <v>6.37</v>
      </c>
      <c r="I212" s="388"/>
    </row>
    <row r="213" spans="1:9">
      <c r="A213" s="385"/>
      <c r="B213" s="380" t="s">
        <v>477</v>
      </c>
      <c r="C213" s="373">
        <v>2854.13</v>
      </c>
      <c r="D213" s="373">
        <v>0.28000000000000003</v>
      </c>
      <c r="E213" s="377">
        <v>1.56</v>
      </c>
      <c r="F213" s="373">
        <v>3.42</v>
      </c>
      <c r="G213" s="373">
        <v>4.4800000000000004</v>
      </c>
      <c r="H213" s="374">
        <v>6.17</v>
      </c>
      <c r="I213" s="388"/>
    </row>
    <row r="214" spans="1:9">
      <c r="A214" s="385"/>
      <c r="B214" s="380" t="s">
        <v>478</v>
      </c>
      <c r="C214" s="373">
        <v>2861.55</v>
      </c>
      <c r="D214" s="373">
        <v>0.26</v>
      </c>
      <c r="E214" s="377">
        <v>1.07</v>
      </c>
      <c r="F214" s="373">
        <v>3.19</v>
      </c>
      <c r="G214" s="373">
        <v>4.76</v>
      </c>
      <c r="H214" s="374">
        <v>6.25</v>
      </c>
      <c r="I214" s="388"/>
    </row>
    <row r="215" spans="1:9">
      <c r="A215" s="385"/>
      <c r="B215" s="380" t="s">
        <v>479</v>
      </c>
      <c r="C215" s="373">
        <v>2874.43</v>
      </c>
      <c r="D215" s="373">
        <v>0.45</v>
      </c>
      <c r="E215" s="377">
        <v>0.99</v>
      </c>
      <c r="F215" s="373">
        <v>3.09</v>
      </c>
      <c r="G215" s="373">
        <v>5.23</v>
      </c>
      <c r="H215" s="374">
        <v>6.41</v>
      </c>
      <c r="I215" s="388"/>
    </row>
    <row r="216" spans="1:9">
      <c r="A216" s="385"/>
      <c r="B216" s="380" t="s">
        <v>480</v>
      </c>
      <c r="C216" s="373">
        <v>2884.78</v>
      </c>
      <c r="D216" s="373">
        <v>0.36</v>
      </c>
      <c r="E216" s="377">
        <v>1.07</v>
      </c>
      <c r="F216" s="373">
        <v>2.65</v>
      </c>
      <c r="G216" s="373">
        <v>5.61</v>
      </c>
      <c r="H216" s="374">
        <v>6.39</v>
      </c>
      <c r="I216" s="388"/>
    </row>
    <row r="217" spans="1:9">
      <c r="A217" s="385"/>
      <c r="B217" s="380" t="s">
        <v>481</v>
      </c>
      <c r="C217" s="373">
        <v>2892.86</v>
      </c>
      <c r="D217" s="373">
        <v>0.28000000000000003</v>
      </c>
      <c r="E217" s="377">
        <v>1.0900000000000001</v>
      </c>
      <c r="F217" s="373">
        <v>2.1800000000000002</v>
      </c>
      <c r="G217" s="373">
        <v>5.9</v>
      </c>
      <c r="H217" s="374">
        <v>5.9</v>
      </c>
      <c r="I217" s="388"/>
    </row>
    <row r="218" spans="1:9" ht="6.95" customHeight="1">
      <c r="A218" s="385"/>
      <c r="B218" s="378"/>
      <c r="C218" s="379"/>
      <c r="D218" s="379"/>
      <c r="E218" s="379"/>
      <c r="F218" s="379"/>
      <c r="G218" s="379"/>
      <c r="H218" s="374"/>
      <c r="I218" s="388"/>
    </row>
    <row r="219" spans="1:9" s="337" customFormat="1" ht="6.95" customHeight="1">
      <c r="A219" s="916" t="s">
        <v>482</v>
      </c>
      <c r="B219" s="916"/>
      <c r="C219" s="916"/>
      <c r="D219" s="916"/>
      <c r="E219" s="916"/>
      <c r="F219" s="916"/>
      <c r="G219" s="916"/>
      <c r="H219" s="916"/>
    </row>
    <row r="220" spans="1:9" s="337" customFormat="1" ht="18" customHeight="1">
      <c r="A220" s="919" t="s">
        <v>461</v>
      </c>
      <c r="B220" s="919"/>
      <c r="C220" s="919"/>
      <c r="D220" s="919"/>
      <c r="E220" s="919"/>
      <c r="F220" s="919"/>
      <c r="G220" s="919"/>
      <c r="H220" s="336"/>
    </row>
    <row r="221" spans="1:9" ht="12" thickBot="1">
      <c r="A221" s="338"/>
      <c r="B221" s="338"/>
      <c r="C221" s="339"/>
      <c r="D221" s="338"/>
      <c r="E221" s="338"/>
      <c r="F221" s="338"/>
      <c r="G221" s="338"/>
      <c r="H221" s="340" t="s">
        <v>483</v>
      </c>
    </row>
    <row r="222" spans="1:9" s="347" customFormat="1" ht="14.25" thickTop="1">
      <c r="A222" s="342"/>
      <c r="B222" s="342"/>
      <c r="C222" s="343"/>
      <c r="D222" s="344"/>
      <c r="E222" s="345"/>
      <c r="F222" s="345" t="s">
        <v>463</v>
      </c>
      <c r="G222" s="345"/>
      <c r="H222" s="346"/>
    </row>
    <row r="223" spans="1:9" s="347" customFormat="1" ht="13.5">
      <c r="A223" s="348" t="s">
        <v>31</v>
      </c>
      <c r="B223" s="349" t="s">
        <v>464</v>
      </c>
      <c r="C223" s="350" t="s">
        <v>465</v>
      </c>
      <c r="D223" s="917" t="s">
        <v>466</v>
      </c>
      <c r="E223" s="918"/>
      <c r="F223" s="918"/>
      <c r="G223" s="918"/>
      <c r="H223" s="918"/>
    </row>
    <row r="224" spans="1:9" s="347" customFormat="1" ht="13.7" customHeight="1">
      <c r="A224" s="348"/>
      <c r="B224" s="349"/>
      <c r="C224" s="351" t="s">
        <v>467</v>
      </c>
      <c r="D224" s="352" t="s">
        <v>468</v>
      </c>
      <c r="E224" s="352">
        <v>3</v>
      </c>
      <c r="F224" s="352">
        <v>6</v>
      </c>
      <c r="G224" s="352" t="s">
        <v>468</v>
      </c>
      <c r="H224" s="353">
        <v>12</v>
      </c>
    </row>
    <row r="225" spans="1:8" s="347" customFormat="1" ht="13.7" customHeight="1" thickBot="1">
      <c r="A225" s="354"/>
      <c r="B225" s="354"/>
      <c r="C225" s="355"/>
      <c r="D225" s="356" t="s">
        <v>464</v>
      </c>
      <c r="E225" s="357" t="s">
        <v>469</v>
      </c>
      <c r="F225" s="357" t="s">
        <v>469</v>
      </c>
      <c r="G225" s="357" t="s">
        <v>31</v>
      </c>
      <c r="H225" s="358" t="s">
        <v>469</v>
      </c>
    </row>
    <row r="226" spans="1:8" ht="6.95" customHeight="1">
      <c r="A226" s="359"/>
      <c r="B226" s="359"/>
      <c r="C226" s="360"/>
      <c r="D226" s="361"/>
      <c r="E226" s="362"/>
      <c r="F226" s="362"/>
      <c r="G226" s="362"/>
      <c r="H226" s="363"/>
    </row>
    <row r="227" spans="1:8">
      <c r="A227" s="361">
        <v>2009</v>
      </c>
      <c r="B227" s="380" t="s">
        <v>470</v>
      </c>
      <c r="C227" s="373">
        <v>2906.74</v>
      </c>
      <c r="D227" s="373">
        <v>0.48</v>
      </c>
      <c r="E227" s="377">
        <v>1.1200000000000001</v>
      </c>
      <c r="F227" s="373">
        <v>2.13</v>
      </c>
      <c r="G227" s="373">
        <v>0.48</v>
      </c>
      <c r="H227" s="374">
        <v>5.84</v>
      </c>
    </row>
    <row r="228" spans="1:8">
      <c r="A228" s="385"/>
      <c r="B228" s="380" t="s">
        <v>471</v>
      </c>
      <c r="C228" s="373">
        <v>2922.73</v>
      </c>
      <c r="D228" s="373">
        <v>0.55000000000000004</v>
      </c>
      <c r="E228" s="377">
        <v>1.32</v>
      </c>
      <c r="F228" s="373">
        <v>2.4</v>
      </c>
      <c r="G228" s="373">
        <v>1.03</v>
      </c>
      <c r="H228" s="374">
        <v>5.9</v>
      </c>
    </row>
    <row r="229" spans="1:8">
      <c r="A229" s="385"/>
      <c r="B229" s="380" t="s">
        <v>472</v>
      </c>
      <c r="C229" s="373">
        <v>2928.57</v>
      </c>
      <c r="D229" s="373">
        <v>0.2</v>
      </c>
      <c r="E229" s="377">
        <v>1.23</v>
      </c>
      <c r="F229" s="373">
        <v>2.34</v>
      </c>
      <c r="G229" s="373">
        <v>1.23</v>
      </c>
      <c r="H229" s="374">
        <v>5.61</v>
      </c>
    </row>
    <row r="230" spans="1:8">
      <c r="A230" s="385"/>
      <c r="B230" s="380" t="s">
        <v>473</v>
      </c>
      <c r="C230" s="373">
        <v>2942.63</v>
      </c>
      <c r="D230" s="373">
        <v>0.48</v>
      </c>
      <c r="E230" s="377">
        <v>1.23</v>
      </c>
      <c r="F230" s="373">
        <v>2.37</v>
      </c>
      <c r="G230" s="373">
        <v>1.72</v>
      </c>
      <c r="H230" s="374">
        <v>5.53</v>
      </c>
    </row>
    <row r="231" spans="1:8">
      <c r="A231" s="385"/>
      <c r="B231" s="380" t="s">
        <v>474</v>
      </c>
      <c r="C231" s="373">
        <v>2956.46</v>
      </c>
      <c r="D231" s="373">
        <v>0.47</v>
      </c>
      <c r="E231" s="377">
        <v>1.1499999999999999</v>
      </c>
      <c r="F231" s="373">
        <v>2.48</v>
      </c>
      <c r="G231" s="373">
        <v>2.2000000000000002</v>
      </c>
      <c r="H231" s="374">
        <v>5.2</v>
      </c>
    </row>
    <row r="232" spans="1:8">
      <c r="A232" s="385"/>
      <c r="B232" s="380" t="s">
        <v>475</v>
      </c>
      <c r="C232" s="373">
        <v>2967.1</v>
      </c>
      <c r="D232" s="373">
        <v>0.36</v>
      </c>
      <c r="E232" s="377">
        <v>1.32</v>
      </c>
      <c r="F232" s="373">
        <v>2.57</v>
      </c>
      <c r="G232" s="373">
        <v>2.57</v>
      </c>
      <c r="H232" s="374">
        <v>4.8</v>
      </c>
    </row>
    <row r="233" spans="1:8">
      <c r="A233" s="385"/>
      <c r="B233" s="380" t="s">
        <v>476</v>
      </c>
      <c r="C233" s="373">
        <v>2974.22</v>
      </c>
      <c r="D233" s="373">
        <v>0.24</v>
      </c>
      <c r="E233" s="377">
        <v>1.07</v>
      </c>
      <c r="F233" s="373">
        <v>2.3199999999999998</v>
      </c>
      <c r="G233" s="373">
        <v>2.81</v>
      </c>
      <c r="H233" s="374">
        <v>4.5</v>
      </c>
    </row>
    <row r="234" spans="1:8">
      <c r="A234" s="385"/>
      <c r="B234" s="380" t="s">
        <v>477</v>
      </c>
      <c r="C234" s="373">
        <v>2978.68</v>
      </c>
      <c r="D234" s="373">
        <v>0.15</v>
      </c>
      <c r="E234" s="377">
        <v>0.75</v>
      </c>
      <c r="F234" s="373">
        <v>1.91</v>
      </c>
      <c r="G234" s="373">
        <v>2.97</v>
      </c>
      <c r="H234" s="374">
        <v>4.3600000000000003</v>
      </c>
    </row>
    <row r="235" spans="1:8">
      <c r="A235" s="385"/>
      <c r="B235" s="380" t="s">
        <v>478</v>
      </c>
      <c r="C235" s="373">
        <v>2985.83</v>
      </c>
      <c r="D235" s="373">
        <v>0.24</v>
      </c>
      <c r="E235" s="377">
        <v>0.63</v>
      </c>
      <c r="F235" s="373">
        <v>1.96</v>
      </c>
      <c r="G235" s="373">
        <v>3.21</v>
      </c>
      <c r="H235" s="374">
        <v>4.34</v>
      </c>
    </row>
    <row r="236" spans="1:8">
      <c r="A236" s="385"/>
      <c r="B236" s="380" t="s">
        <v>479</v>
      </c>
      <c r="C236" s="373">
        <v>2994.19</v>
      </c>
      <c r="D236" s="373">
        <v>0.28000000000000003</v>
      </c>
      <c r="E236" s="377">
        <v>0.67</v>
      </c>
      <c r="F236" s="373">
        <v>1.75</v>
      </c>
      <c r="G236" s="373">
        <v>3.5</v>
      </c>
      <c r="H236" s="374">
        <v>4.17</v>
      </c>
    </row>
    <row r="237" spans="1:8">
      <c r="A237" s="385"/>
      <c r="B237" s="380" t="s">
        <v>480</v>
      </c>
      <c r="C237" s="373">
        <v>3006.47</v>
      </c>
      <c r="D237" s="373">
        <v>0.41</v>
      </c>
      <c r="E237" s="377">
        <v>0.93</v>
      </c>
      <c r="F237" s="373">
        <v>1.69</v>
      </c>
      <c r="G237" s="373">
        <v>3.93</v>
      </c>
      <c r="H237" s="374">
        <v>4.22</v>
      </c>
    </row>
    <row r="238" spans="1:8">
      <c r="A238" s="385"/>
      <c r="B238" s="380" t="s">
        <v>481</v>
      </c>
      <c r="C238" s="373">
        <v>3017.59</v>
      </c>
      <c r="D238" s="373">
        <v>0.37</v>
      </c>
      <c r="E238" s="377">
        <v>1.06</v>
      </c>
      <c r="F238" s="373">
        <v>1.7</v>
      </c>
      <c r="G238" s="373">
        <v>4.3099999999999996</v>
      </c>
      <c r="H238" s="374">
        <v>4.3099999999999996</v>
      </c>
    </row>
    <row r="239" spans="1:8" ht="6.95" customHeight="1">
      <c r="A239" s="359"/>
      <c r="B239" s="359"/>
      <c r="C239" s="368"/>
      <c r="D239" s="369"/>
      <c r="E239" s="370"/>
      <c r="F239" s="370"/>
      <c r="G239" s="370"/>
      <c r="H239" s="371"/>
    </row>
    <row r="240" spans="1:8">
      <c r="A240" s="361">
        <v>2010</v>
      </c>
      <c r="B240" s="380" t="s">
        <v>470</v>
      </c>
      <c r="C240" s="373">
        <v>3040.22</v>
      </c>
      <c r="D240" s="373">
        <v>0.75</v>
      </c>
      <c r="E240" s="377">
        <v>1.54</v>
      </c>
      <c r="F240" s="373">
        <v>2.2200000000000002</v>
      </c>
      <c r="G240" s="373">
        <v>0.75</v>
      </c>
      <c r="H240" s="374">
        <v>4.59</v>
      </c>
    </row>
    <row r="241" spans="1:8">
      <c r="A241" s="385"/>
      <c r="B241" s="380" t="s">
        <v>471</v>
      </c>
      <c r="C241" s="373">
        <v>3063.93</v>
      </c>
      <c r="D241" s="373">
        <v>0.78</v>
      </c>
      <c r="E241" s="377">
        <v>1.91</v>
      </c>
      <c r="F241" s="373">
        <v>2.86</v>
      </c>
      <c r="G241" s="373">
        <v>1.54</v>
      </c>
      <c r="H241" s="374">
        <v>4.83</v>
      </c>
    </row>
    <row r="242" spans="1:8">
      <c r="A242" s="385"/>
      <c r="B242" s="380" t="s">
        <v>472</v>
      </c>
      <c r="C242" s="373">
        <v>3079.86</v>
      </c>
      <c r="D242" s="373">
        <v>0.52</v>
      </c>
      <c r="E242" s="377">
        <v>2.06</v>
      </c>
      <c r="F242" s="373">
        <v>3.15</v>
      </c>
      <c r="G242" s="373">
        <v>2.06</v>
      </c>
      <c r="H242" s="374">
        <v>5.17</v>
      </c>
    </row>
    <row r="243" spans="1:8">
      <c r="A243" s="385"/>
      <c r="B243" s="380" t="s">
        <v>473</v>
      </c>
      <c r="C243" s="373">
        <v>3097.42</v>
      </c>
      <c r="D243" s="373">
        <v>0.56999999999999995</v>
      </c>
      <c r="E243" s="377">
        <v>1.88</v>
      </c>
      <c r="F243" s="373">
        <v>3.45</v>
      </c>
      <c r="G243" s="373">
        <v>2.65</v>
      </c>
      <c r="H243" s="374">
        <v>5.26</v>
      </c>
    </row>
    <row r="244" spans="1:8">
      <c r="A244" s="385"/>
      <c r="B244" s="380" t="s">
        <v>474</v>
      </c>
      <c r="C244" s="373">
        <v>3110.74</v>
      </c>
      <c r="D244" s="373">
        <v>0.43</v>
      </c>
      <c r="E244" s="377">
        <v>1.53</v>
      </c>
      <c r="F244" s="373">
        <v>3.47</v>
      </c>
      <c r="G244" s="373">
        <v>3.09</v>
      </c>
      <c r="H244" s="374">
        <v>5.22</v>
      </c>
    </row>
    <row r="245" spans="1:8">
      <c r="A245" s="385"/>
      <c r="B245" s="380" t="s">
        <v>475</v>
      </c>
      <c r="C245" s="373">
        <v>3110.74</v>
      </c>
      <c r="D245" s="373">
        <v>0</v>
      </c>
      <c r="E245" s="377">
        <v>1</v>
      </c>
      <c r="F245" s="373">
        <v>3.09</v>
      </c>
      <c r="G245" s="373">
        <v>3.09</v>
      </c>
      <c r="H245" s="374">
        <v>4.84</v>
      </c>
    </row>
    <row r="246" spans="1:8">
      <c r="A246" s="385"/>
      <c r="B246" s="380" t="s">
        <v>476</v>
      </c>
      <c r="C246" s="373">
        <v>3111.05</v>
      </c>
      <c r="D246" s="373">
        <v>0.01</v>
      </c>
      <c r="E246" s="377">
        <v>0.44</v>
      </c>
      <c r="F246" s="373">
        <v>2.33</v>
      </c>
      <c r="G246" s="373">
        <v>3.1</v>
      </c>
      <c r="H246" s="374">
        <v>4.5999999999999996</v>
      </c>
    </row>
    <row r="247" spans="1:8">
      <c r="A247" s="385"/>
      <c r="B247" s="380" t="s">
        <v>477</v>
      </c>
      <c r="C247" s="373">
        <v>3112.29</v>
      </c>
      <c r="D247" s="373">
        <v>0.04</v>
      </c>
      <c r="E247" s="377">
        <v>0.05</v>
      </c>
      <c r="F247" s="373">
        <v>1.58</v>
      </c>
      <c r="G247" s="373">
        <v>3.14</v>
      </c>
      <c r="H247" s="374">
        <v>4.49</v>
      </c>
    </row>
    <row r="248" spans="1:8">
      <c r="A248" s="385"/>
      <c r="B248" s="380" t="s">
        <v>478</v>
      </c>
      <c r="C248" s="373">
        <v>3126.29</v>
      </c>
      <c r="D248" s="373">
        <v>0.45</v>
      </c>
      <c r="E248" s="377">
        <v>0.5</v>
      </c>
      <c r="F248" s="373">
        <v>1.51</v>
      </c>
      <c r="G248" s="373">
        <v>3.6</v>
      </c>
      <c r="H248" s="374">
        <v>4.7</v>
      </c>
    </row>
    <row r="249" spans="1:8">
      <c r="A249" s="385"/>
      <c r="B249" s="380" t="s">
        <v>479</v>
      </c>
      <c r="C249" s="373">
        <v>3149.74</v>
      </c>
      <c r="D249" s="373">
        <v>0.75</v>
      </c>
      <c r="E249" s="377">
        <v>1.24</v>
      </c>
      <c r="F249" s="373">
        <v>1.69</v>
      </c>
      <c r="G249" s="373">
        <v>4.38</v>
      </c>
      <c r="H249" s="374">
        <v>5.2</v>
      </c>
    </row>
    <row r="250" spans="1:8">
      <c r="A250" s="385"/>
      <c r="B250" s="380" t="s">
        <v>480</v>
      </c>
      <c r="C250" s="373">
        <v>3175.88</v>
      </c>
      <c r="D250" s="373">
        <v>0.83</v>
      </c>
      <c r="E250" s="377">
        <v>2.04</v>
      </c>
      <c r="F250" s="373">
        <v>2.09</v>
      </c>
      <c r="G250" s="373">
        <v>5.25</v>
      </c>
      <c r="H250" s="374">
        <v>5.63</v>
      </c>
    </row>
    <row r="251" spans="1:8">
      <c r="A251" s="385"/>
      <c r="B251" s="380" t="s">
        <v>481</v>
      </c>
      <c r="C251" s="373">
        <v>3195.89</v>
      </c>
      <c r="D251" s="373">
        <v>0.63</v>
      </c>
      <c r="E251" s="377">
        <v>2.23</v>
      </c>
      <c r="F251" s="373">
        <v>2.74</v>
      </c>
      <c r="G251" s="373">
        <v>5.91</v>
      </c>
      <c r="H251" s="374">
        <v>5.91</v>
      </c>
    </row>
    <row r="252" spans="1:8" ht="6.95" customHeight="1">
      <c r="A252" s="359"/>
      <c r="B252" s="359"/>
      <c r="C252" s="368"/>
      <c r="D252" s="369"/>
      <c r="E252" s="370"/>
      <c r="F252" s="370"/>
      <c r="G252" s="370"/>
      <c r="H252" s="371"/>
    </row>
    <row r="253" spans="1:8">
      <c r="A253" s="361">
        <v>2011</v>
      </c>
      <c r="B253" s="380" t="s">
        <v>470</v>
      </c>
      <c r="C253" s="373">
        <v>3222.42</v>
      </c>
      <c r="D253" s="373">
        <v>0.83</v>
      </c>
      <c r="E253" s="377">
        <v>2.31</v>
      </c>
      <c r="F253" s="373">
        <v>3.58</v>
      </c>
      <c r="G253" s="373">
        <v>0.83</v>
      </c>
      <c r="H253" s="374">
        <v>5.99</v>
      </c>
    </row>
    <row r="254" spans="1:8">
      <c r="A254" s="385"/>
      <c r="B254" s="380" t="s">
        <v>471</v>
      </c>
      <c r="C254" s="373">
        <v>3248.2</v>
      </c>
      <c r="D254" s="373">
        <v>0.8</v>
      </c>
      <c r="E254" s="377">
        <v>2.2799999999999998</v>
      </c>
      <c r="F254" s="373">
        <v>4.37</v>
      </c>
      <c r="G254" s="373">
        <v>1.64</v>
      </c>
      <c r="H254" s="374">
        <v>6.01</v>
      </c>
    </row>
    <row r="255" spans="1:8">
      <c r="A255" s="385"/>
      <c r="B255" s="380" t="s">
        <v>472</v>
      </c>
      <c r="C255" s="373">
        <v>3273.86</v>
      </c>
      <c r="D255" s="373">
        <v>0.79</v>
      </c>
      <c r="E255" s="377">
        <v>2.44</v>
      </c>
      <c r="F255" s="373">
        <v>4.72</v>
      </c>
      <c r="G255" s="373">
        <v>2.44</v>
      </c>
      <c r="H255" s="374">
        <v>6.3</v>
      </c>
    </row>
    <row r="256" spans="1:8">
      <c r="A256" s="385"/>
      <c r="B256" s="380" t="s">
        <v>473</v>
      </c>
      <c r="C256" s="373">
        <v>3299.07</v>
      </c>
      <c r="D256" s="373">
        <v>0.77</v>
      </c>
      <c r="E256" s="377">
        <v>2.38</v>
      </c>
      <c r="F256" s="373">
        <v>4.74</v>
      </c>
      <c r="G256" s="373">
        <v>3.23</v>
      </c>
      <c r="H256" s="374">
        <v>6.51</v>
      </c>
    </row>
    <row r="257" spans="1:8">
      <c r="A257" s="385"/>
      <c r="B257" s="380" t="s">
        <v>474</v>
      </c>
      <c r="C257" s="373">
        <v>3314.58</v>
      </c>
      <c r="D257" s="373">
        <v>0.47</v>
      </c>
      <c r="E257" s="377">
        <v>2.04</v>
      </c>
      <c r="F257" s="373">
        <v>4.37</v>
      </c>
      <c r="G257" s="373">
        <v>3.71</v>
      </c>
      <c r="H257" s="374">
        <v>6.55</v>
      </c>
    </row>
    <row r="258" spans="1:8">
      <c r="A258" s="385"/>
      <c r="B258" s="380" t="s">
        <v>475</v>
      </c>
      <c r="C258" s="373">
        <v>3319.55</v>
      </c>
      <c r="D258" s="373">
        <v>0.15</v>
      </c>
      <c r="E258" s="377">
        <v>1.4</v>
      </c>
      <c r="F258" s="373">
        <v>3.87</v>
      </c>
      <c r="G258" s="373">
        <v>3.87</v>
      </c>
      <c r="H258" s="374">
        <v>6.71</v>
      </c>
    </row>
    <row r="259" spans="1:8">
      <c r="A259" s="385"/>
      <c r="B259" s="380" t="s">
        <v>476</v>
      </c>
      <c r="C259" s="373">
        <v>3324.86</v>
      </c>
      <c r="D259" s="373">
        <v>0.16</v>
      </c>
      <c r="E259" s="377">
        <v>0.78</v>
      </c>
      <c r="F259" s="373">
        <v>3.18</v>
      </c>
      <c r="G259" s="373">
        <v>4.04</v>
      </c>
      <c r="H259" s="374">
        <v>6.87</v>
      </c>
    </row>
    <row r="260" spans="1:8">
      <c r="A260" s="385"/>
      <c r="B260" s="380" t="s">
        <v>477</v>
      </c>
      <c r="C260" s="373">
        <v>3337.16</v>
      </c>
      <c r="D260" s="373">
        <v>0.37</v>
      </c>
      <c r="E260" s="377">
        <v>0.68</v>
      </c>
      <c r="F260" s="373">
        <v>2.74</v>
      </c>
      <c r="G260" s="373">
        <v>4.42</v>
      </c>
      <c r="H260" s="374">
        <v>7.23</v>
      </c>
    </row>
    <row r="261" spans="1:8">
      <c r="A261" s="385"/>
      <c r="B261" s="380" t="s">
        <v>478</v>
      </c>
      <c r="C261" s="373">
        <v>3354.85</v>
      </c>
      <c r="D261" s="373">
        <v>0.53</v>
      </c>
      <c r="E261" s="377">
        <v>1.06</v>
      </c>
      <c r="F261" s="373">
        <v>2.4700000000000002</v>
      </c>
      <c r="G261" s="373">
        <v>4.97</v>
      </c>
      <c r="H261" s="374">
        <v>7.31</v>
      </c>
    </row>
    <row r="262" spans="1:8">
      <c r="A262" s="385"/>
      <c r="B262" s="380" t="s">
        <v>479</v>
      </c>
      <c r="C262" s="373">
        <v>3369.28</v>
      </c>
      <c r="D262" s="373">
        <v>0.43</v>
      </c>
      <c r="E262" s="377">
        <v>1.34</v>
      </c>
      <c r="F262" s="373">
        <v>2.13</v>
      </c>
      <c r="G262" s="373">
        <v>5.43</v>
      </c>
      <c r="H262" s="374">
        <v>6.97</v>
      </c>
    </row>
    <row r="263" spans="1:8">
      <c r="A263" s="385"/>
      <c r="B263" s="380" t="s">
        <v>480</v>
      </c>
      <c r="C263" s="373">
        <v>3386.8</v>
      </c>
      <c r="D263" s="373">
        <v>0.52</v>
      </c>
      <c r="E263" s="377">
        <v>1.49</v>
      </c>
      <c r="F263" s="373">
        <v>2.1800000000000002</v>
      </c>
      <c r="G263" s="373">
        <v>5.97</v>
      </c>
      <c r="H263" s="374">
        <v>6.64</v>
      </c>
    </row>
    <row r="264" spans="1:8">
      <c r="A264" s="385"/>
      <c r="B264" s="380" t="s">
        <v>481</v>
      </c>
      <c r="C264" s="373">
        <v>3403.73</v>
      </c>
      <c r="D264" s="373">
        <v>0.5</v>
      </c>
      <c r="E264" s="377">
        <v>1.46</v>
      </c>
      <c r="F264" s="373">
        <v>2.54</v>
      </c>
      <c r="G264" s="373">
        <v>6.5</v>
      </c>
      <c r="H264" s="374">
        <v>6.5</v>
      </c>
    </row>
    <row r="265" spans="1:8" ht="6.95" customHeight="1">
      <c r="A265" s="385"/>
      <c r="B265" s="380"/>
      <c r="C265" s="373"/>
      <c r="D265" s="373"/>
      <c r="E265" s="377"/>
      <c r="F265" s="373"/>
      <c r="G265" s="373"/>
      <c r="H265" s="374"/>
    </row>
    <row r="266" spans="1:8">
      <c r="A266" s="361">
        <v>2012</v>
      </c>
      <c r="B266" s="380" t="s">
        <v>470</v>
      </c>
      <c r="C266" s="373">
        <v>3422.79</v>
      </c>
      <c r="D266" s="373">
        <v>0.56000000000000005</v>
      </c>
      <c r="E266" s="377">
        <v>1.59</v>
      </c>
      <c r="F266" s="373">
        <v>2.95</v>
      </c>
      <c r="G266" s="373">
        <v>0.56000000000000005</v>
      </c>
      <c r="H266" s="374">
        <v>6.22</v>
      </c>
    </row>
    <row r="267" spans="1:8">
      <c r="A267" s="385"/>
      <c r="B267" s="380" t="s">
        <v>471</v>
      </c>
      <c r="C267" s="373">
        <v>3438.19</v>
      </c>
      <c r="D267" s="373">
        <v>0.45</v>
      </c>
      <c r="E267" s="377">
        <v>1.52</v>
      </c>
      <c r="F267" s="373">
        <v>3.03</v>
      </c>
      <c r="G267" s="373">
        <v>1.01</v>
      </c>
      <c r="H267" s="374">
        <v>5.85</v>
      </c>
    </row>
    <row r="268" spans="1:8">
      <c r="A268" s="385"/>
      <c r="B268" s="380" t="s">
        <v>472</v>
      </c>
      <c r="C268" s="373">
        <v>3445.41</v>
      </c>
      <c r="D268" s="373">
        <v>0.21</v>
      </c>
      <c r="E268" s="377">
        <v>1.22</v>
      </c>
      <c r="F268" s="373">
        <v>2.7</v>
      </c>
      <c r="G268" s="373">
        <v>1.22</v>
      </c>
      <c r="H268" s="374">
        <v>5.24</v>
      </c>
    </row>
    <row r="269" spans="1:8">
      <c r="A269" s="385"/>
      <c r="B269" s="380" t="s">
        <v>473</v>
      </c>
      <c r="C269" s="373">
        <v>3467.46</v>
      </c>
      <c r="D269" s="373">
        <v>0.64</v>
      </c>
      <c r="E269" s="377">
        <v>1.31</v>
      </c>
      <c r="F269" s="373">
        <v>2.91</v>
      </c>
      <c r="G269" s="373">
        <v>1.87</v>
      </c>
      <c r="H269" s="374">
        <v>5.0999999999999996</v>
      </c>
    </row>
    <row r="270" spans="1:8">
      <c r="A270" s="385"/>
      <c r="B270" s="380" t="s">
        <v>474</v>
      </c>
      <c r="C270" s="373">
        <v>3479.94</v>
      </c>
      <c r="D270" s="373">
        <v>0.36</v>
      </c>
      <c r="E270" s="377">
        <v>1.21</v>
      </c>
      <c r="F270" s="373">
        <v>2.75</v>
      </c>
      <c r="G270" s="373">
        <v>2.2400000000000002</v>
      </c>
      <c r="H270" s="374">
        <v>4.99</v>
      </c>
    </row>
    <row r="271" spans="1:8">
      <c r="A271" s="385"/>
      <c r="B271" s="380" t="s">
        <v>475</v>
      </c>
      <c r="C271" s="373">
        <v>3482.72</v>
      </c>
      <c r="D271" s="373">
        <v>0.08</v>
      </c>
      <c r="E271" s="377">
        <v>1.08</v>
      </c>
      <c r="F271" s="373">
        <v>2.3199999999999998</v>
      </c>
      <c r="G271" s="373">
        <v>2.3199999999999998</v>
      </c>
      <c r="H271" s="374">
        <v>4.92</v>
      </c>
    </row>
    <row r="272" spans="1:8">
      <c r="A272" s="385"/>
      <c r="B272" s="380" t="s">
        <v>476</v>
      </c>
      <c r="C272" s="373">
        <v>3497.7</v>
      </c>
      <c r="D272" s="373">
        <v>0.43</v>
      </c>
      <c r="E272" s="377">
        <v>0.87</v>
      </c>
      <c r="F272" s="373">
        <v>2.19</v>
      </c>
      <c r="G272" s="373">
        <v>2.76</v>
      </c>
      <c r="H272" s="374">
        <v>5.2</v>
      </c>
    </row>
    <row r="273" spans="1:8">
      <c r="A273" s="385"/>
      <c r="B273" s="389" t="s">
        <v>477</v>
      </c>
      <c r="C273" s="390">
        <v>3512.04</v>
      </c>
      <c r="D273" s="390">
        <v>0.41</v>
      </c>
      <c r="E273" s="390">
        <v>0.92</v>
      </c>
      <c r="F273" s="390">
        <v>2.15</v>
      </c>
      <c r="G273" s="390">
        <v>3.18</v>
      </c>
      <c r="H273" s="391">
        <v>5.24</v>
      </c>
    </row>
    <row r="274" spans="1:8">
      <c r="A274" s="385"/>
      <c r="B274" s="389" t="s">
        <v>478</v>
      </c>
      <c r="C274" s="390">
        <v>3532.06</v>
      </c>
      <c r="D274" s="390">
        <v>0.56999999999999995</v>
      </c>
      <c r="E274" s="390">
        <v>1.42</v>
      </c>
      <c r="F274" s="390">
        <v>2.5099999999999998</v>
      </c>
      <c r="G274" s="390">
        <v>3.77</v>
      </c>
      <c r="H274" s="391">
        <v>5.28</v>
      </c>
    </row>
    <row r="275" spans="1:8">
      <c r="A275" s="392"/>
      <c r="B275" s="389" t="s">
        <v>479</v>
      </c>
      <c r="C275" s="390">
        <v>3552.9</v>
      </c>
      <c r="D275" s="390">
        <v>0.59</v>
      </c>
      <c r="E275" s="390">
        <v>1.58</v>
      </c>
      <c r="F275" s="390">
        <v>2.46</v>
      </c>
      <c r="G275" s="390">
        <v>4.38</v>
      </c>
      <c r="H275" s="391">
        <v>5.45</v>
      </c>
    </row>
    <row r="276" spans="1:8">
      <c r="A276" s="392"/>
      <c r="B276" s="389" t="s">
        <v>480</v>
      </c>
      <c r="C276" s="390">
        <v>3574.22</v>
      </c>
      <c r="D276" s="390">
        <v>0.6</v>
      </c>
      <c r="E276" s="390">
        <v>1.77</v>
      </c>
      <c r="F276" s="390">
        <v>2.71</v>
      </c>
      <c r="G276" s="390">
        <v>5.01</v>
      </c>
      <c r="H276" s="391">
        <v>5.53</v>
      </c>
    </row>
    <row r="277" spans="1:8">
      <c r="A277" s="392"/>
      <c r="B277" s="389" t="s">
        <v>481</v>
      </c>
      <c r="C277" s="390">
        <v>3602.46</v>
      </c>
      <c r="D277" s="390">
        <v>0.79</v>
      </c>
      <c r="E277" s="390">
        <v>1.99</v>
      </c>
      <c r="F277" s="390">
        <v>3.44</v>
      </c>
      <c r="G277" s="390">
        <v>5.84</v>
      </c>
      <c r="H277" s="391">
        <v>5.84</v>
      </c>
    </row>
    <row r="278" spans="1:8" ht="6.95" customHeight="1">
      <c r="A278" s="392"/>
      <c r="B278" s="389"/>
      <c r="C278" s="390"/>
      <c r="D278" s="390"/>
      <c r="E278" s="390"/>
      <c r="F278" s="390"/>
      <c r="G278" s="390"/>
      <c r="H278" s="391"/>
    </row>
    <row r="279" spans="1:8">
      <c r="A279" s="361">
        <v>2013</v>
      </c>
      <c r="B279" s="393" t="s">
        <v>470</v>
      </c>
      <c r="C279" s="390">
        <v>3633.44</v>
      </c>
      <c r="D279" s="390">
        <v>0.86</v>
      </c>
      <c r="E279" s="390">
        <v>2.27</v>
      </c>
      <c r="F279" s="390">
        <v>3.88</v>
      </c>
      <c r="G279" s="390">
        <v>0.86</v>
      </c>
      <c r="H279" s="391">
        <v>6.15</v>
      </c>
    </row>
    <row r="280" spans="1:8">
      <c r="A280" s="361"/>
      <c r="B280" s="393" t="s">
        <v>471</v>
      </c>
      <c r="C280" s="390">
        <v>3655.24</v>
      </c>
      <c r="D280" s="390">
        <v>0.6</v>
      </c>
      <c r="E280" s="390">
        <v>2.27</v>
      </c>
      <c r="F280" s="390">
        <v>4.08</v>
      </c>
      <c r="G280" s="390">
        <v>1.47</v>
      </c>
      <c r="H280" s="391">
        <v>6.31</v>
      </c>
    </row>
    <row r="281" spans="1:8">
      <c r="A281" s="361"/>
      <c r="B281" s="393" t="s">
        <v>472</v>
      </c>
      <c r="C281" s="390">
        <v>3672.42</v>
      </c>
      <c r="D281" s="390">
        <v>0.47</v>
      </c>
      <c r="E281" s="390">
        <v>1.94</v>
      </c>
      <c r="F281" s="390">
        <v>3.97</v>
      </c>
      <c r="G281" s="390">
        <v>1.94</v>
      </c>
      <c r="H281" s="391">
        <v>6.59</v>
      </c>
    </row>
    <row r="282" spans="1:8">
      <c r="A282" s="394"/>
      <c r="B282" s="378" t="s">
        <v>473</v>
      </c>
      <c r="C282" s="390">
        <v>3692.62</v>
      </c>
      <c r="D282" s="390">
        <v>0.55000000000000004</v>
      </c>
      <c r="E282" s="390">
        <v>1.63</v>
      </c>
      <c r="F282" s="390">
        <v>3.93</v>
      </c>
      <c r="G282" s="390">
        <v>2.5</v>
      </c>
      <c r="H282" s="391">
        <v>6.49</v>
      </c>
    </row>
    <row r="283" spans="1:8">
      <c r="A283" s="361"/>
      <c r="B283" s="393" t="s">
        <v>474</v>
      </c>
      <c r="C283" s="390">
        <v>3706.28</v>
      </c>
      <c r="D283" s="390">
        <v>0.37</v>
      </c>
      <c r="E283" s="390">
        <v>1.4</v>
      </c>
      <c r="F283" s="390">
        <v>3.69</v>
      </c>
      <c r="G283" s="390">
        <v>2.88</v>
      </c>
      <c r="H283" s="391">
        <v>6.5</v>
      </c>
    </row>
    <row r="284" spans="1:8">
      <c r="A284" s="361"/>
      <c r="B284" s="393" t="s">
        <v>475</v>
      </c>
      <c r="C284" s="390">
        <v>3715.92</v>
      </c>
      <c r="D284" s="390">
        <v>0.26</v>
      </c>
      <c r="E284" s="390">
        <v>1.18</v>
      </c>
      <c r="F284" s="390">
        <v>3.15</v>
      </c>
      <c r="G284" s="390">
        <v>3.15</v>
      </c>
      <c r="H284" s="391">
        <v>6.7</v>
      </c>
    </row>
    <row r="285" spans="1:8">
      <c r="A285" s="394"/>
      <c r="B285" s="378" t="s">
        <v>476</v>
      </c>
      <c r="C285" s="390">
        <v>3717.03</v>
      </c>
      <c r="D285" s="390">
        <v>0.03</v>
      </c>
      <c r="E285" s="390">
        <v>0.66</v>
      </c>
      <c r="F285" s="390">
        <v>2.2999999999999998</v>
      </c>
      <c r="G285" s="390">
        <v>3.18</v>
      </c>
      <c r="H285" s="391">
        <v>6.27</v>
      </c>
    </row>
    <row r="286" spans="1:8">
      <c r="A286" s="394"/>
      <c r="B286" s="378" t="s">
        <v>477</v>
      </c>
      <c r="C286" s="390">
        <v>3725.95</v>
      </c>
      <c r="D286" s="390">
        <v>0.24</v>
      </c>
      <c r="E286" s="390">
        <v>0.53</v>
      </c>
      <c r="F286" s="390">
        <v>1.93</v>
      </c>
      <c r="G286" s="390">
        <v>3.43</v>
      </c>
      <c r="H286" s="391">
        <v>6.09</v>
      </c>
    </row>
    <row r="287" spans="1:8">
      <c r="A287" s="394"/>
      <c r="B287" s="378" t="s">
        <v>478</v>
      </c>
      <c r="C287" s="390">
        <v>3738.99</v>
      </c>
      <c r="D287" s="390">
        <v>0.35</v>
      </c>
      <c r="E287" s="390">
        <v>0.62</v>
      </c>
      <c r="F287" s="390">
        <v>1.81</v>
      </c>
      <c r="G287" s="390">
        <v>3.79</v>
      </c>
      <c r="H287" s="391">
        <v>5.86</v>
      </c>
    </row>
    <row r="288" spans="1:8">
      <c r="A288" s="394"/>
      <c r="B288" s="378" t="s">
        <v>479</v>
      </c>
      <c r="C288" s="390">
        <v>3760.3</v>
      </c>
      <c r="D288" s="390">
        <v>0.56999999999999995</v>
      </c>
      <c r="E288" s="390">
        <v>1.1599999999999999</v>
      </c>
      <c r="F288" s="390">
        <v>1.83</v>
      </c>
      <c r="G288" s="390">
        <v>4.38</v>
      </c>
      <c r="H288" s="391">
        <v>5.84</v>
      </c>
    </row>
    <row r="289" spans="1:10">
      <c r="A289" s="394"/>
      <c r="B289" s="378" t="s">
        <v>480</v>
      </c>
      <c r="C289" s="390">
        <v>3780.61</v>
      </c>
      <c r="D289" s="390">
        <v>0.54</v>
      </c>
      <c r="E289" s="390">
        <v>1.47</v>
      </c>
      <c r="F289" s="390">
        <v>2.0099999999999998</v>
      </c>
      <c r="G289" s="390">
        <v>4.95</v>
      </c>
      <c r="H289" s="391">
        <v>5.77</v>
      </c>
    </row>
    <row r="290" spans="1:10">
      <c r="A290" s="394"/>
      <c r="B290" s="378" t="s">
        <v>481</v>
      </c>
      <c r="C290" s="390">
        <v>3815.39</v>
      </c>
      <c r="D290" s="390">
        <v>0.92</v>
      </c>
      <c r="E290" s="390">
        <v>2.04</v>
      </c>
      <c r="F290" s="390">
        <v>2.68</v>
      </c>
      <c r="G290" s="390">
        <v>5.91</v>
      </c>
      <c r="H290" s="391">
        <v>5.91</v>
      </c>
    </row>
    <row r="291" spans="1:10" ht="6.95" customHeight="1">
      <c r="A291" s="361"/>
      <c r="B291" s="378"/>
      <c r="C291" s="379"/>
      <c r="D291" s="379"/>
      <c r="E291" s="379"/>
      <c r="F291" s="379"/>
      <c r="G291" s="379"/>
      <c r="H291" s="374"/>
    </row>
    <row r="292" spans="1:10" ht="6.95" customHeight="1">
      <c r="A292" s="361"/>
      <c r="B292" s="378"/>
      <c r="C292" s="379"/>
      <c r="D292" s="379"/>
      <c r="E292" s="379"/>
      <c r="F292" s="379"/>
      <c r="G292" s="379"/>
      <c r="H292" s="374"/>
    </row>
    <row r="293" spans="1:10" ht="16.5">
      <c r="A293" s="919" t="s">
        <v>461</v>
      </c>
      <c r="B293" s="919"/>
      <c r="C293" s="919"/>
      <c r="D293" s="919"/>
      <c r="E293" s="919"/>
      <c r="F293" s="919"/>
      <c r="G293" s="919"/>
      <c r="H293" s="336"/>
    </row>
    <row r="294" spans="1:10" ht="12" thickBot="1">
      <c r="A294" s="338"/>
      <c r="B294" s="338"/>
      <c r="C294" s="339"/>
      <c r="D294" s="338"/>
      <c r="E294" s="338"/>
      <c r="F294" s="338"/>
      <c r="G294" s="338"/>
      <c r="H294" s="340" t="s">
        <v>484</v>
      </c>
    </row>
    <row r="295" spans="1:10" ht="14.25" thickTop="1">
      <c r="A295" s="342"/>
      <c r="B295" s="342"/>
      <c r="C295" s="343"/>
      <c r="D295" s="344"/>
      <c r="E295" s="345"/>
      <c r="F295" s="345" t="s">
        <v>463</v>
      </c>
      <c r="G295" s="345"/>
      <c r="H295" s="346"/>
    </row>
    <row r="296" spans="1:10" ht="13.5">
      <c r="A296" s="348" t="s">
        <v>31</v>
      </c>
      <c r="B296" s="349" t="s">
        <v>464</v>
      </c>
      <c r="C296" s="350" t="s">
        <v>465</v>
      </c>
      <c r="D296" s="917" t="s">
        <v>466</v>
      </c>
      <c r="E296" s="918"/>
      <c r="F296" s="918"/>
      <c r="G296" s="918"/>
      <c r="H296" s="918"/>
    </row>
    <row r="297" spans="1:10" ht="13.5">
      <c r="A297" s="348"/>
      <c r="B297" s="349"/>
      <c r="C297" s="351" t="s">
        <v>467</v>
      </c>
      <c r="D297" s="352" t="s">
        <v>468</v>
      </c>
      <c r="E297" s="352">
        <v>3</v>
      </c>
      <c r="F297" s="352">
        <v>6</v>
      </c>
      <c r="G297" s="352" t="s">
        <v>468</v>
      </c>
      <c r="H297" s="353">
        <v>12</v>
      </c>
    </row>
    <row r="298" spans="1:10" ht="14.25" thickBot="1">
      <c r="A298" s="354"/>
      <c r="B298" s="354"/>
      <c r="C298" s="355"/>
      <c r="D298" s="356" t="s">
        <v>464</v>
      </c>
      <c r="E298" s="357" t="s">
        <v>469</v>
      </c>
      <c r="F298" s="357" t="s">
        <v>469</v>
      </c>
      <c r="G298" s="357" t="s">
        <v>31</v>
      </c>
      <c r="H298" s="358" t="s">
        <v>469</v>
      </c>
    </row>
    <row r="299" spans="1:10">
      <c r="A299" s="361"/>
      <c r="B299" s="393"/>
      <c r="C299" s="390"/>
      <c r="D299" s="390"/>
      <c r="E299" s="390"/>
      <c r="F299" s="390"/>
      <c r="G299" s="390"/>
      <c r="H299" s="391"/>
    </row>
    <row r="300" spans="1:10">
      <c r="A300" s="361">
        <v>2014</v>
      </c>
      <c r="B300" s="393" t="s">
        <v>470</v>
      </c>
      <c r="C300" s="390">
        <v>3836.37</v>
      </c>
      <c r="D300" s="390">
        <v>0.55000000000000004</v>
      </c>
      <c r="E300" s="390">
        <v>2.02</v>
      </c>
      <c r="F300" s="390">
        <v>3.21</v>
      </c>
      <c r="G300" s="390">
        <v>0.55000000000000004</v>
      </c>
      <c r="H300" s="391">
        <v>5.59</v>
      </c>
      <c r="J300" s="341">
        <f t="shared" ref="J300:J311" si="0">C300/$C$248</f>
        <v>1.2271318399764577</v>
      </c>
    </row>
    <row r="301" spans="1:10">
      <c r="A301" s="394"/>
      <c r="B301" s="378" t="s">
        <v>471</v>
      </c>
      <c r="C301" s="390">
        <v>3862.84</v>
      </c>
      <c r="D301" s="390">
        <v>0.69</v>
      </c>
      <c r="E301" s="390">
        <v>2.1800000000000002</v>
      </c>
      <c r="F301" s="390">
        <v>3.67</v>
      </c>
      <c r="G301" s="390">
        <v>1.24</v>
      </c>
      <c r="H301" s="391">
        <v>5.68</v>
      </c>
      <c r="J301" s="341">
        <f t="shared" si="0"/>
        <v>1.2355987448381309</v>
      </c>
    </row>
    <row r="302" spans="1:10">
      <c r="A302" s="394"/>
      <c r="B302" s="378" t="s">
        <v>472</v>
      </c>
      <c r="C302" s="390">
        <v>3898.38</v>
      </c>
      <c r="D302" s="390">
        <v>0.92</v>
      </c>
      <c r="E302" s="390">
        <v>2.1800000000000002</v>
      </c>
      <c r="F302" s="390">
        <v>4.26</v>
      </c>
      <c r="G302" s="390">
        <v>2.1800000000000002</v>
      </c>
      <c r="H302" s="391">
        <v>6.15</v>
      </c>
      <c r="J302" s="341">
        <f t="shared" si="0"/>
        <v>1.24696685208346</v>
      </c>
    </row>
    <row r="303" spans="1:10">
      <c r="A303" s="394"/>
      <c r="B303" s="378" t="s">
        <v>473</v>
      </c>
      <c r="C303" s="390">
        <v>3924.5</v>
      </c>
      <c r="D303" s="390">
        <v>0.67</v>
      </c>
      <c r="E303" s="390">
        <v>2.2999999999999998</v>
      </c>
      <c r="F303" s="390">
        <v>4.37</v>
      </c>
      <c r="G303" s="390">
        <v>2.86</v>
      </c>
      <c r="H303" s="391">
        <v>6.28</v>
      </c>
      <c r="J303" s="341">
        <f t="shared" si="0"/>
        <v>1.2553218031596558</v>
      </c>
    </row>
    <row r="304" spans="1:10">
      <c r="A304" s="394"/>
      <c r="B304" s="378" t="s">
        <v>474</v>
      </c>
      <c r="C304" s="390">
        <v>3942.55</v>
      </c>
      <c r="D304" s="390">
        <v>0.46</v>
      </c>
      <c r="E304" s="390">
        <v>2.06</v>
      </c>
      <c r="F304" s="390">
        <v>4.28</v>
      </c>
      <c r="G304" s="390">
        <v>3.33</v>
      </c>
      <c r="H304" s="391">
        <v>6.37</v>
      </c>
      <c r="J304" s="341">
        <f t="shared" si="0"/>
        <v>1.2610954198107023</v>
      </c>
    </row>
    <row r="305" spans="1:14">
      <c r="A305" s="394"/>
      <c r="B305" s="378" t="s">
        <v>475</v>
      </c>
      <c r="C305" s="390">
        <v>3958.32</v>
      </c>
      <c r="D305" s="390">
        <v>0.4</v>
      </c>
      <c r="E305" s="390">
        <v>1.54</v>
      </c>
      <c r="F305" s="390">
        <v>3.75</v>
      </c>
      <c r="G305" s="390">
        <v>3.75</v>
      </c>
      <c r="H305" s="391">
        <v>6.52</v>
      </c>
      <c r="J305" s="341">
        <f t="shared" si="0"/>
        <v>1.2661397375163532</v>
      </c>
    </row>
    <row r="306" spans="1:14">
      <c r="A306" s="394"/>
      <c r="B306" s="378" t="s">
        <v>476</v>
      </c>
      <c r="C306" s="390">
        <v>3958.72</v>
      </c>
      <c r="D306" s="390">
        <v>0.01</v>
      </c>
      <c r="E306" s="390">
        <v>0.87</v>
      </c>
      <c r="F306" s="390">
        <v>3.19</v>
      </c>
      <c r="G306" s="390">
        <v>3.76</v>
      </c>
      <c r="H306" s="391">
        <v>6.5</v>
      </c>
      <c r="J306" s="341">
        <f t="shared" si="0"/>
        <v>1.2662676846997558</v>
      </c>
    </row>
    <row r="307" spans="1:14">
      <c r="A307" s="394"/>
      <c r="B307" s="378" t="s">
        <v>477</v>
      </c>
      <c r="C307" s="390">
        <v>3968.62</v>
      </c>
      <c r="D307" s="390">
        <v>0.25</v>
      </c>
      <c r="E307" s="390">
        <v>0.66</v>
      </c>
      <c r="F307" s="390">
        <v>2.74</v>
      </c>
      <c r="G307" s="390">
        <v>4.0199999999999996</v>
      </c>
      <c r="H307" s="391">
        <v>6.51</v>
      </c>
      <c r="J307" s="341">
        <f t="shared" si="0"/>
        <v>1.2694343774889725</v>
      </c>
    </row>
    <row r="308" spans="1:14">
      <c r="A308" s="394"/>
      <c r="B308" s="378" t="s">
        <v>478</v>
      </c>
      <c r="C308" s="390">
        <v>3991.24</v>
      </c>
      <c r="D308" s="390">
        <v>0.56999999999999995</v>
      </c>
      <c r="E308" s="390">
        <v>0.83</v>
      </c>
      <c r="F308" s="390">
        <v>2.38</v>
      </c>
      <c r="G308" s="390">
        <v>4.6100000000000003</v>
      </c>
      <c r="H308" s="391">
        <v>6.75</v>
      </c>
      <c r="J308" s="341">
        <f t="shared" si="0"/>
        <v>1.2766697907103948</v>
      </c>
    </row>
    <row r="309" spans="1:14">
      <c r="A309" s="394"/>
      <c r="B309" s="378" t="s">
        <v>479</v>
      </c>
      <c r="C309" s="390">
        <v>4008</v>
      </c>
      <c r="D309" s="390">
        <v>0.42</v>
      </c>
      <c r="E309" s="390">
        <v>1.24</v>
      </c>
      <c r="F309" s="390">
        <v>2.13</v>
      </c>
      <c r="G309" s="390">
        <v>5.05</v>
      </c>
      <c r="H309" s="391">
        <v>6.59</v>
      </c>
      <c r="J309" s="341">
        <f t="shared" si="0"/>
        <v>1.2820307776949675</v>
      </c>
    </row>
    <row r="310" spans="1:14">
      <c r="A310" s="394"/>
      <c r="B310" s="378" t="s">
        <v>480</v>
      </c>
      <c r="C310" s="390">
        <v>4028.44</v>
      </c>
      <c r="D310" s="390">
        <v>0.51</v>
      </c>
      <c r="E310" s="390">
        <v>1.51</v>
      </c>
      <c r="F310" s="390">
        <v>2.1800000000000002</v>
      </c>
      <c r="G310" s="390">
        <v>5.58</v>
      </c>
      <c r="H310" s="391">
        <v>6.56</v>
      </c>
      <c r="J310" s="341">
        <f t="shared" si="0"/>
        <v>1.288568878766845</v>
      </c>
    </row>
    <row r="311" spans="1:14">
      <c r="A311" s="361"/>
      <c r="B311" s="393" t="s">
        <v>481</v>
      </c>
      <c r="C311" s="390">
        <v>4059.86</v>
      </c>
      <c r="D311" s="390">
        <v>0.78</v>
      </c>
      <c r="E311" s="390">
        <v>1.72</v>
      </c>
      <c r="F311" s="390">
        <v>2.57</v>
      </c>
      <c r="G311" s="390">
        <v>6.41</v>
      </c>
      <c r="H311" s="391">
        <v>6.41</v>
      </c>
      <c r="J311" s="341">
        <f t="shared" si="0"/>
        <v>1.2986191300231265</v>
      </c>
    </row>
    <row r="312" spans="1:14">
      <c r="A312" s="361"/>
      <c r="B312" s="393"/>
      <c r="C312" s="390"/>
      <c r="D312" s="390"/>
      <c r="E312" s="390"/>
      <c r="F312" s="390"/>
      <c r="G312" s="390"/>
      <c r="H312" s="391"/>
      <c r="L312" s="378" t="s">
        <v>574</v>
      </c>
      <c r="M312" s="378" t="s">
        <v>516</v>
      </c>
      <c r="N312" s="341" t="s">
        <v>1334</v>
      </c>
    </row>
    <row r="313" spans="1:14">
      <c r="A313" s="361">
        <v>2015</v>
      </c>
      <c r="B313" s="393" t="s">
        <v>470</v>
      </c>
      <c r="C313" s="390">
        <v>4110.2</v>
      </c>
      <c r="D313" s="390">
        <v>1.24</v>
      </c>
      <c r="E313" s="390">
        <v>2.5499999999999998</v>
      </c>
      <c r="F313" s="390">
        <v>3.83</v>
      </c>
      <c r="G313" s="390">
        <v>1.24</v>
      </c>
      <c r="H313" s="391">
        <v>7.14</v>
      </c>
      <c r="J313" s="341">
        <f>C313/$C$248</f>
        <v>1.3147212830543551</v>
      </c>
      <c r="L313" s="341">
        <v>1</v>
      </c>
      <c r="M313" s="341">
        <v>2015</v>
      </c>
      <c r="N313" s="341" t="s">
        <v>1335</v>
      </c>
    </row>
    <row r="314" spans="1:14">
      <c r="A314" s="394"/>
      <c r="B314" s="378" t="s">
        <v>471</v>
      </c>
      <c r="C314" s="390">
        <v>4160.34</v>
      </c>
      <c r="D314" s="390">
        <v>1.22</v>
      </c>
      <c r="E314" s="390">
        <v>3.27</v>
      </c>
      <c r="F314" s="390">
        <v>4.83</v>
      </c>
      <c r="G314" s="390">
        <v>2.48</v>
      </c>
      <c r="H314" s="391">
        <v>7.7</v>
      </c>
      <c r="J314" s="341">
        <f>C314/$C$248</f>
        <v>1.3307594624938826</v>
      </c>
      <c r="L314" s="341">
        <v>2</v>
      </c>
      <c r="M314" s="341">
        <v>2015</v>
      </c>
      <c r="N314" s="341" t="s">
        <v>1336</v>
      </c>
    </row>
    <row r="315" spans="1:14">
      <c r="A315" s="361"/>
      <c r="B315" s="393" t="s">
        <v>472</v>
      </c>
      <c r="C315" s="390">
        <v>4215.26</v>
      </c>
      <c r="D315" s="390">
        <v>1.32</v>
      </c>
      <c r="E315" s="390">
        <v>3.83</v>
      </c>
      <c r="F315" s="390">
        <v>5.61</v>
      </c>
      <c r="G315" s="390">
        <v>3.83</v>
      </c>
      <c r="H315" s="391">
        <v>8.1300000000000008</v>
      </c>
      <c r="J315" s="341">
        <f t="shared" ref="J315:J324" si="1">C315/$C$248</f>
        <v>1.3483266107750722</v>
      </c>
      <c r="L315" s="341">
        <v>3</v>
      </c>
      <c r="M315" s="341">
        <v>2015</v>
      </c>
      <c r="N315" s="341" t="s">
        <v>1337</v>
      </c>
    </row>
    <row r="316" spans="1:14">
      <c r="A316" s="394"/>
      <c r="B316" s="378" t="s">
        <v>473</v>
      </c>
      <c r="C316" s="390">
        <v>4245.1899999999996</v>
      </c>
      <c r="D316" s="390">
        <v>0.71</v>
      </c>
      <c r="E316" s="390">
        <v>3.28</v>
      </c>
      <c r="F316" s="390">
        <v>5.92</v>
      </c>
      <c r="G316" s="390">
        <v>4.5599999999999996</v>
      </c>
      <c r="H316" s="391">
        <v>8.17</v>
      </c>
      <c r="J316" s="341">
        <f t="shared" si="1"/>
        <v>1.3579002587731783</v>
      </c>
      <c r="L316" s="341">
        <v>4</v>
      </c>
      <c r="M316" s="341">
        <v>2015</v>
      </c>
      <c r="N316" s="341" t="s">
        <v>1338</v>
      </c>
    </row>
    <row r="317" spans="1:14">
      <c r="A317" s="394"/>
      <c r="B317" s="378" t="s">
        <v>474</v>
      </c>
      <c r="C317" s="390">
        <v>4276.6000000000004</v>
      </c>
      <c r="D317" s="390">
        <v>0.74</v>
      </c>
      <c r="E317" s="390">
        <v>2.79</v>
      </c>
      <c r="F317" s="390">
        <v>6.16</v>
      </c>
      <c r="G317" s="390">
        <v>5.34</v>
      </c>
      <c r="H317" s="391">
        <v>8.4700000000000006</v>
      </c>
      <c r="J317" s="341">
        <f t="shared" si="1"/>
        <v>1.3679473113498748</v>
      </c>
      <c r="L317" s="341">
        <v>5</v>
      </c>
      <c r="M317" s="341">
        <v>2015</v>
      </c>
      <c r="N317" s="341" t="s">
        <v>1339</v>
      </c>
    </row>
    <row r="318" spans="1:14">
      <c r="A318" s="394"/>
      <c r="B318" s="378" t="s">
        <v>475</v>
      </c>
      <c r="C318" s="390">
        <v>4310.3900000000003</v>
      </c>
      <c r="D318" s="390">
        <v>0.79</v>
      </c>
      <c r="E318" s="390">
        <v>2.2599999999999998</v>
      </c>
      <c r="F318" s="390">
        <v>6.17</v>
      </c>
      <c r="G318" s="390">
        <v>6.17</v>
      </c>
      <c r="H318" s="391">
        <v>8.89</v>
      </c>
      <c r="J318" s="341">
        <f t="shared" si="1"/>
        <v>1.3787556496678173</v>
      </c>
      <c r="L318" s="341">
        <v>6</v>
      </c>
      <c r="M318" s="341">
        <v>2015</v>
      </c>
      <c r="N318" s="341" t="s">
        <v>1340</v>
      </c>
    </row>
    <row r="319" spans="1:14">
      <c r="A319" s="361"/>
      <c r="B319" s="393" t="s">
        <v>476</v>
      </c>
      <c r="C319" s="390">
        <v>4337.1099999999997</v>
      </c>
      <c r="D319" s="390">
        <v>0.62</v>
      </c>
      <c r="E319" s="390">
        <v>2.17</v>
      </c>
      <c r="F319" s="390">
        <v>5.52</v>
      </c>
      <c r="G319" s="390">
        <v>6.83</v>
      </c>
      <c r="H319" s="391">
        <v>9.56</v>
      </c>
      <c r="J319" s="341">
        <f t="shared" si="1"/>
        <v>1.3873025215191168</v>
      </c>
      <c r="L319" s="341">
        <v>7</v>
      </c>
      <c r="M319" s="341">
        <v>2015</v>
      </c>
      <c r="N319" s="341" t="s">
        <v>1341</v>
      </c>
    </row>
    <row r="320" spans="1:14">
      <c r="A320" s="394"/>
      <c r="B320" s="378" t="s">
        <v>477</v>
      </c>
      <c r="C320" s="390">
        <v>4346.6499999999996</v>
      </c>
      <c r="D320" s="390">
        <v>0.22</v>
      </c>
      <c r="E320" s="390">
        <v>1.64</v>
      </c>
      <c r="F320" s="390">
        <v>4.4800000000000004</v>
      </c>
      <c r="G320" s="390">
        <v>7.06</v>
      </c>
      <c r="H320" s="391">
        <v>9.5299999999999994</v>
      </c>
      <c r="J320" s="341">
        <f t="shared" si="1"/>
        <v>1.390354061843271</v>
      </c>
      <c r="L320" s="341">
        <v>8</v>
      </c>
      <c r="M320" s="341">
        <v>2015</v>
      </c>
      <c r="N320" s="341" t="s">
        <v>1342</v>
      </c>
    </row>
    <row r="321" spans="1:14">
      <c r="A321" s="394"/>
      <c r="B321" s="378" t="s">
        <v>478</v>
      </c>
      <c r="C321" s="390">
        <v>4370.12</v>
      </c>
      <c r="D321" s="390">
        <v>0.54</v>
      </c>
      <c r="E321" s="390">
        <v>1.39</v>
      </c>
      <c r="F321" s="390">
        <v>3.67</v>
      </c>
      <c r="G321" s="390">
        <v>7.64</v>
      </c>
      <c r="H321" s="391">
        <v>9.49</v>
      </c>
      <c r="J321" s="341">
        <f t="shared" si="1"/>
        <v>1.3978613628294241</v>
      </c>
      <c r="L321" s="341">
        <v>9</v>
      </c>
      <c r="M321" s="341">
        <v>2015</v>
      </c>
      <c r="N321" s="341" t="s">
        <v>1343</v>
      </c>
    </row>
    <row r="322" spans="1:14">
      <c r="A322" s="394"/>
      <c r="B322" s="378" t="s">
        <v>479</v>
      </c>
      <c r="C322" s="390">
        <v>4405.95</v>
      </c>
      <c r="D322" s="390">
        <v>0.82</v>
      </c>
      <c r="E322" s="390">
        <v>1.59</v>
      </c>
      <c r="F322" s="390">
        <v>3.79</v>
      </c>
      <c r="G322" s="390">
        <v>8.52</v>
      </c>
      <c r="H322" s="391">
        <v>9.93</v>
      </c>
      <c r="J322" s="341">
        <f t="shared" si="1"/>
        <v>1.4093222317827201</v>
      </c>
      <c r="L322" s="341">
        <v>10</v>
      </c>
      <c r="M322" s="341">
        <v>2015</v>
      </c>
      <c r="N322" s="341" t="s">
        <v>1344</v>
      </c>
    </row>
    <row r="323" spans="1:14">
      <c r="A323" s="361"/>
      <c r="B323" s="393" t="s">
        <v>480</v>
      </c>
      <c r="C323" s="390">
        <v>4450.45</v>
      </c>
      <c r="D323" s="390">
        <v>1.01</v>
      </c>
      <c r="E323" s="390">
        <v>2.39</v>
      </c>
      <c r="F323" s="390">
        <v>4.07</v>
      </c>
      <c r="G323" s="390">
        <v>9.6199999999999992</v>
      </c>
      <c r="H323" s="391">
        <v>10.48</v>
      </c>
      <c r="J323" s="341">
        <f t="shared" si="1"/>
        <v>1.4235563559362694</v>
      </c>
      <c r="L323" s="341">
        <v>11</v>
      </c>
      <c r="M323" s="341">
        <v>2015</v>
      </c>
      <c r="N323" s="341" t="s">
        <v>1345</v>
      </c>
    </row>
    <row r="324" spans="1:14">
      <c r="A324" s="394"/>
      <c r="B324" s="378" t="s">
        <v>481</v>
      </c>
      <c r="C324" s="390">
        <v>4493.17</v>
      </c>
      <c r="D324" s="390">
        <v>0.96</v>
      </c>
      <c r="E324" s="390">
        <v>2.82</v>
      </c>
      <c r="F324" s="390">
        <v>4.24</v>
      </c>
      <c r="G324" s="390">
        <v>10.67</v>
      </c>
      <c r="H324" s="391">
        <v>10.67</v>
      </c>
      <c r="J324" s="341">
        <f t="shared" si="1"/>
        <v>1.4372211151236769</v>
      </c>
      <c r="L324" s="341">
        <v>12</v>
      </c>
      <c r="M324" s="341">
        <v>2015</v>
      </c>
      <c r="N324" s="341" t="s">
        <v>1346</v>
      </c>
    </row>
    <row r="325" spans="1:14">
      <c r="A325" s="394"/>
      <c r="B325" s="378"/>
      <c r="C325" s="390"/>
      <c r="D325" s="390"/>
      <c r="E325" s="390"/>
      <c r="F325" s="390"/>
      <c r="G325" s="390"/>
      <c r="H325" s="391"/>
    </row>
    <row r="326" spans="1:14">
      <c r="A326" s="394">
        <v>2016</v>
      </c>
      <c r="B326" s="378" t="s">
        <v>470</v>
      </c>
      <c r="C326" s="390">
        <v>4550.2299999999996</v>
      </c>
      <c r="D326" s="390">
        <v>1.27</v>
      </c>
      <c r="E326" s="390">
        <v>3.27</v>
      </c>
      <c r="F326" s="390">
        <v>4.91</v>
      </c>
      <c r="G326" s="390">
        <v>1.27</v>
      </c>
      <c r="H326" s="391">
        <v>10.71</v>
      </c>
      <c r="J326" s="341">
        <f t="shared" ref="J326:J335" si="2">C326/$C$248</f>
        <v>1.4554727808360708</v>
      </c>
      <c r="L326" s="341">
        <v>1</v>
      </c>
      <c r="M326" s="341">
        <v>2016</v>
      </c>
      <c r="N326" s="341" t="s">
        <v>1347</v>
      </c>
    </row>
    <row r="327" spans="1:14">
      <c r="A327" s="394"/>
      <c r="B327" s="378" t="s">
        <v>471</v>
      </c>
      <c r="C327" s="390">
        <v>4591.18</v>
      </c>
      <c r="D327" s="390">
        <v>0.9</v>
      </c>
      <c r="E327" s="390">
        <v>3.16</v>
      </c>
      <c r="F327" s="390">
        <v>5.63</v>
      </c>
      <c r="G327" s="390">
        <v>2.1800000000000002</v>
      </c>
      <c r="H327" s="391">
        <v>10.36</v>
      </c>
      <c r="J327" s="341">
        <f t="shared" si="2"/>
        <v>1.4685713737369215</v>
      </c>
      <c r="L327" s="341">
        <v>2</v>
      </c>
      <c r="M327" s="341">
        <v>2016</v>
      </c>
      <c r="N327" s="341" t="s">
        <v>1348</v>
      </c>
    </row>
    <row r="328" spans="1:14">
      <c r="A328" s="394"/>
      <c r="B328" s="378" t="s">
        <v>472</v>
      </c>
      <c r="C328" s="390">
        <v>4610.92</v>
      </c>
      <c r="D328" s="390">
        <v>0.43</v>
      </c>
      <c r="E328" s="390">
        <v>2.62</v>
      </c>
      <c r="F328" s="390">
        <v>5.51</v>
      </c>
      <c r="G328" s="390">
        <v>2.62</v>
      </c>
      <c r="H328" s="391">
        <v>9.39</v>
      </c>
      <c r="J328" s="341">
        <f t="shared" si="2"/>
        <v>1.4748855672378443</v>
      </c>
      <c r="L328" s="341">
        <v>3</v>
      </c>
      <c r="M328" s="341">
        <v>2016</v>
      </c>
      <c r="N328" s="341" t="s">
        <v>1349</v>
      </c>
    </row>
    <row r="329" spans="1:14">
      <c r="A329" s="394"/>
      <c r="B329" s="378" t="s">
        <v>473</v>
      </c>
      <c r="C329" s="390">
        <v>4639.05</v>
      </c>
      <c r="D329" s="390">
        <v>0.61</v>
      </c>
      <c r="E329" s="390">
        <v>1.95</v>
      </c>
      <c r="F329" s="390">
        <v>5.29</v>
      </c>
      <c r="G329" s="390">
        <v>3.25</v>
      </c>
      <c r="H329" s="391">
        <v>9.2799999999999994</v>
      </c>
      <c r="J329" s="341">
        <f t="shared" si="2"/>
        <v>1.4838834529106386</v>
      </c>
      <c r="L329" s="341">
        <v>4</v>
      </c>
      <c r="M329" s="341">
        <v>2016</v>
      </c>
      <c r="N329" s="341" t="s">
        <v>1350</v>
      </c>
    </row>
    <row r="330" spans="1:14">
      <c r="A330" s="394"/>
      <c r="B330" s="378" t="s">
        <v>474</v>
      </c>
      <c r="C330" s="390">
        <v>4675.2299999999996</v>
      </c>
      <c r="D330" s="390">
        <v>0.78</v>
      </c>
      <c r="E330" s="390">
        <v>1.83</v>
      </c>
      <c r="F330" s="390">
        <v>5.05</v>
      </c>
      <c r="G330" s="390">
        <v>4.05</v>
      </c>
      <c r="H330" s="391">
        <v>9.32</v>
      </c>
      <c r="J330" s="341">
        <f t="shared" si="2"/>
        <v>1.4954562756494119</v>
      </c>
      <c r="L330" s="341">
        <v>5</v>
      </c>
      <c r="M330" s="341">
        <v>2016</v>
      </c>
      <c r="N330" s="341" t="s">
        <v>1351</v>
      </c>
    </row>
    <row r="331" spans="1:14">
      <c r="A331" s="394"/>
      <c r="B331" s="378" t="s">
        <v>475</v>
      </c>
      <c r="C331" s="390">
        <v>4691.59</v>
      </c>
      <c r="D331" s="390">
        <v>0.35</v>
      </c>
      <c r="E331" s="390">
        <v>1.75</v>
      </c>
      <c r="F331" s="390">
        <v>4.42</v>
      </c>
      <c r="G331" s="390">
        <v>4.42</v>
      </c>
      <c r="H331" s="391">
        <v>8.84</v>
      </c>
      <c r="J331" s="341">
        <f t="shared" si="2"/>
        <v>1.500689315450582</v>
      </c>
      <c r="L331" s="341">
        <v>6</v>
      </c>
      <c r="M331" s="341">
        <v>2016</v>
      </c>
      <c r="N331" s="341" t="s">
        <v>1352</v>
      </c>
    </row>
    <row r="332" spans="1:14">
      <c r="A332" s="394"/>
      <c r="B332" s="378" t="s">
        <v>476</v>
      </c>
      <c r="C332" s="390">
        <v>4715.99</v>
      </c>
      <c r="D332" s="390">
        <v>0.52</v>
      </c>
      <c r="E332" s="390">
        <v>1.66</v>
      </c>
      <c r="F332" s="390">
        <v>3.64</v>
      </c>
      <c r="G332" s="390">
        <v>4.96</v>
      </c>
      <c r="H332" s="391">
        <v>8.74</v>
      </c>
      <c r="J332" s="341">
        <f t="shared" si="2"/>
        <v>1.5084940936381461</v>
      </c>
      <c r="L332" s="341">
        <v>7</v>
      </c>
      <c r="M332" s="341">
        <v>2016</v>
      </c>
      <c r="N332" s="341" t="s">
        <v>1353</v>
      </c>
    </row>
    <row r="333" spans="1:14">
      <c r="A333" s="394"/>
      <c r="B333" s="378" t="s">
        <v>477</v>
      </c>
      <c r="C333" s="390">
        <v>4736.74</v>
      </c>
      <c r="D333" s="390">
        <v>0.44</v>
      </c>
      <c r="E333" s="390">
        <v>1.32</v>
      </c>
      <c r="F333" s="390">
        <v>3.17</v>
      </c>
      <c r="G333" s="390">
        <v>5.42</v>
      </c>
      <c r="H333" s="391">
        <v>8.9700000000000006</v>
      </c>
      <c r="J333" s="341">
        <f t="shared" si="2"/>
        <v>1.5151313537771607</v>
      </c>
      <c r="L333" s="341">
        <v>8</v>
      </c>
      <c r="M333" s="341">
        <v>2016</v>
      </c>
      <c r="N333" s="341" t="s">
        <v>1354</v>
      </c>
    </row>
    <row r="334" spans="1:14">
      <c r="A334" s="361"/>
      <c r="B334" s="393" t="s">
        <v>478</v>
      </c>
      <c r="C334" s="390">
        <v>4740.53</v>
      </c>
      <c r="D334" s="390">
        <v>0.08</v>
      </c>
      <c r="E334" s="390">
        <v>1.04</v>
      </c>
      <c r="F334" s="390">
        <v>2.81</v>
      </c>
      <c r="G334" s="390">
        <v>5.51</v>
      </c>
      <c r="H334" s="391">
        <v>8.48</v>
      </c>
      <c r="J334" s="341">
        <f t="shared" si="2"/>
        <v>1.5163436533399013</v>
      </c>
      <c r="L334" s="341">
        <v>9</v>
      </c>
      <c r="M334" s="341">
        <v>2016</v>
      </c>
      <c r="N334" s="341" t="s">
        <v>1355</v>
      </c>
    </row>
    <row r="335" spans="1:14">
      <c r="A335" s="394"/>
      <c r="B335" s="378" t="s">
        <v>479</v>
      </c>
      <c r="C335" s="390">
        <v>4752.8599999999997</v>
      </c>
      <c r="D335" s="390">
        <v>0.26</v>
      </c>
      <c r="E335" s="390">
        <v>0.78</v>
      </c>
      <c r="F335" s="390">
        <v>2.4500000000000002</v>
      </c>
      <c r="G335" s="390">
        <v>5.78</v>
      </c>
      <c r="H335" s="391">
        <v>7.87</v>
      </c>
      <c r="J335" s="341">
        <f t="shared" si="2"/>
        <v>1.5202876252682891</v>
      </c>
      <c r="L335" s="341">
        <v>10</v>
      </c>
      <c r="M335" s="341">
        <v>2016</v>
      </c>
      <c r="N335" s="341" t="s">
        <v>1356</v>
      </c>
    </row>
    <row r="336" spans="1:14">
      <c r="A336" s="361"/>
      <c r="B336" s="393" t="s">
        <v>480</v>
      </c>
      <c r="C336" s="390">
        <v>4761.42</v>
      </c>
      <c r="D336" s="390">
        <v>0.18</v>
      </c>
      <c r="E336" s="390">
        <v>0.52</v>
      </c>
      <c r="F336" s="390">
        <v>1.84</v>
      </c>
      <c r="G336" s="390">
        <v>5.97</v>
      </c>
      <c r="H336" s="391">
        <v>6.99</v>
      </c>
      <c r="J336" s="341">
        <f>C336/$C$248</f>
        <v>1.5230256949931069</v>
      </c>
      <c r="L336" s="341">
        <v>11</v>
      </c>
      <c r="M336" s="341">
        <v>2016</v>
      </c>
      <c r="N336" s="341" t="s">
        <v>1357</v>
      </c>
    </row>
    <row r="337" spans="1:14">
      <c r="A337" s="394"/>
      <c r="B337" s="378" t="s">
        <v>481</v>
      </c>
      <c r="C337" s="390">
        <v>4775.7</v>
      </c>
      <c r="D337" s="390">
        <v>0.3</v>
      </c>
      <c r="E337" s="390">
        <v>0.74</v>
      </c>
      <c r="F337" s="390">
        <v>1.79</v>
      </c>
      <c r="G337" s="390">
        <v>6.29</v>
      </c>
      <c r="H337" s="391">
        <v>6.29</v>
      </c>
      <c r="J337" s="341">
        <f>C337/$C$248</f>
        <v>1.527593409440583</v>
      </c>
      <c r="L337" s="341">
        <v>12</v>
      </c>
      <c r="M337" s="341">
        <v>2016</v>
      </c>
      <c r="N337" s="341" t="s">
        <v>1358</v>
      </c>
    </row>
    <row r="338" spans="1:14">
      <c r="A338" s="394"/>
      <c r="B338" s="378"/>
      <c r="C338" s="390"/>
      <c r="D338" s="390"/>
      <c r="E338" s="390"/>
      <c r="F338" s="390"/>
      <c r="G338" s="390"/>
      <c r="H338" s="391"/>
    </row>
    <row r="339" spans="1:14">
      <c r="A339" s="394">
        <v>2017</v>
      </c>
      <c r="B339" s="378" t="s">
        <v>470</v>
      </c>
      <c r="C339" s="390">
        <v>4793.8500000000004</v>
      </c>
      <c r="D339" s="390">
        <v>0.38</v>
      </c>
      <c r="E339" s="390">
        <v>0.86</v>
      </c>
      <c r="F339" s="390">
        <v>1.65</v>
      </c>
      <c r="G339" s="390">
        <v>0.38</v>
      </c>
      <c r="H339" s="391">
        <v>5.35</v>
      </c>
      <c r="J339" s="341">
        <f t="shared" ref="J339:J346" si="3">C339/$C$248</f>
        <v>1.5333990128874802</v>
      </c>
      <c r="L339" s="341">
        <v>1</v>
      </c>
      <c r="M339" s="341">
        <v>2017</v>
      </c>
      <c r="N339" s="341" t="s">
        <v>1359</v>
      </c>
    </row>
    <row r="340" spans="1:14">
      <c r="A340" s="361"/>
      <c r="B340" s="393" t="s">
        <v>471</v>
      </c>
      <c r="C340" s="390">
        <v>4809.67</v>
      </c>
      <c r="D340" s="390">
        <v>0.33</v>
      </c>
      <c r="E340" s="390">
        <v>1.01</v>
      </c>
      <c r="F340" s="390">
        <v>1.54</v>
      </c>
      <c r="G340" s="390">
        <v>0.71</v>
      </c>
      <c r="H340" s="391">
        <v>4.76</v>
      </c>
      <c r="J340" s="341">
        <f t="shared" si="3"/>
        <v>1.5384593239910564</v>
      </c>
      <c r="L340" s="341">
        <v>2</v>
      </c>
      <c r="M340" s="341">
        <v>2017</v>
      </c>
      <c r="N340" s="341" t="s">
        <v>1360</v>
      </c>
    </row>
    <row r="341" spans="1:14">
      <c r="A341" s="394"/>
      <c r="B341" s="378" t="s">
        <v>472</v>
      </c>
      <c r="C341" s="390">
        <v>4821.6899999999996</v>
      </c>
      <c r="D341" s="390">
        <v>0.25</v>
      </c>
      <c r="E341" s="390">
        <v>0.96</v>
      </c>
      <c r="F341" s="390">
        <v>1.71</v>
      </c>
      <c r="G341" s="390">
        <v>0.96</v>
      </c>
      <c r="H341" s="391">
        <v>4.57</v>
      </c>
      <c r="J341" s="341">
        <f t="shared" si="3"/>
        <v>1.5423041368523072</v>
      </c>
      <c r="L341" s="341">
        <v>3</v>
      </c>
      <c r="M341" s="341">
        <v>2017</v>
      </c>
      <c r="N341" s="341" t="s">
        <v>1361</v>
      </c>
    </row>
    <row r="342" spans="1:14">
      <c r="A342" s="361"/>
      <c r="B342" s="393" t="s">
        <v>473</v>
      </c>
      <c r="C342" s="390">
        <v>4828.4399999999996</v>
      </c>
      <c r="D342" s="390">
        <v>0.14000000000000001</v>
      </c>
      <c r="E342" s="390">
        <v>0.72</v>
      </c>
      <c r="F342" s="390">
        <v>1.59</v>
      </c>
      <c r="G342" s="390">
        <v>1.1000000000000001</v>
      </c>
      <c r="H342" s="391">
        <v>4.08</v>
      </c>
      <c r="J342" s="341">
        <f t="shared" si="3"/>
        <v>1.5444632455722276</v>
      </c>
      <c r="L342" s="341">
        <v>4</v>
      </c>
      <c r="M342" s="341">
        <v>2017</v>
      </c>
      <c r="N342" s="341" t="s">
        <v>1362</v>
      </c>
    </row>
    <row r="343" spans="1:14" ht="11.25" customHeight="1">
      <c r="A343" s="361"/>
      <c r="B343" s="393" t="s">
        <v>474</v>
      </c>
      <c r="C343" s="390">
        <v>4843.41</v>
      </c>
      <c r="D343" s="390">
        <v>0.31</v>
      </c>
      <c r="E343" s="390">
        <v>0.7</v>
      </c>
      <c r="F343" s="390">
        <v>1.72</v>
      </c>
      <c r="G343" s="390">
        <v>1.42</v>
      </c>
      <c r="H343" s="391">
        <v>3.6</v>
      </c>
      <c r="J343" s="341">
        <f t="shared" si="3"/>
        <v>1.5492516689110736</v>
      </c>
      <c r="L343" s="341">
        <v>5</v>
      </c>
      <c r="M343" s="341">
        <v>2017</v>
      </c>
      <c r="N343" s="341" t="s">
        <v>1363</v>
      </c>
    </row>
    <row r="344" spans="1:14" ht="11.25" customHeight="1">
      <c r="A344" s="361"/>
      <c r="B344" s="393" t="s">
        <v>475</v>
      </c>
      <c r="C344" s="390">
        <v>4832.2700000000004</v>
      </c>
      <c r="D344" s="390">
        <v>-0.23</v>
      </c>
      <c r="E344" s="390">
        <v>0.22</v>
      </c>
      <c r="F344" s="390">
        <v>1.18</v>
      </c>
      <c r="G344" s="390">
        <v>1.18</v>
      </c>
      <c r="H344" s="391">
        <v>3</v>
      </c>
      <c r="J344" s="341">
        <f t="shared" si="3"/>
        <v>1.5456883398533088</v>
      </c>
      <c r="L344" s="341">
        <v>6</v>
      </c>
      <c r="M344" s="341">
        <v>2017</v>
      </c>
      <c r="N344" s="341" t="s">
        <v>1364</v>
      </c>
    </row>
    <row r="345" spans="1:14" ht="11.25" customHeight="1">
      <c r="A345" s="424"/>
      <c r="B345" s="425" t="s">
        <v>476</v>
      </c>
      <c r="C345" s="426">
        <v>4843.87</v>
      </c>
      <c r="D345" s="426">
        <v>0.24</v>
      </c>
      <c r="E345" s="426">
        <v>0.32</v>
      </c>
      <c r="F345" s="426">
        <v>1.04</v>
      </c>
      <c r="G345" s="426">
        <v>1.43</v>
      </c>
      <c r="H345" s="427">
        <v>2.71</v>
      </c>
      <c r="J345" s="341">
        <f t="shared" si="3"/>
        <v>1.5493988081719865</v>
      </c>
      <c r="L345" s="341">
        <v>7</v>
      </c>
      <c r="M345" s="341">
        <v>2017</v>
      </c>
      <c r="N345" s="341" t="s">
        <v>1365</v>
      </c>
    </row>
    <row r="346" spans="1:14" ht="11.25" customHeight="1">
      <c r="A346" s="424"/>
      <c r="B346" s="425" t="s">
        <v>477</v>
      </c>
      <c r="C346" s="426">
        <v>4853.07</v>
      </c>
      <c r="D346" s="426">
        <v>0.19</v>
      </c>
      <c r="E346" s="426">
        <v>0.2</v>
      </c>
      <c r="F346" s="426">
        <v>0.9</v>
      </c>
      <c r="G346" s="426">
        <v>1.62</v>
      </c>
      <c r="H346" s="427">
        <v>2.46</v>
      </c>
      <c r="J346" s="341">
        <f t="shared" si="3"/>
        <v>1.5523415933902485</v>
      </c>
      <c r="L346" s="341">
        <v>8</v>
      </c>
      <c r="M346" s="341">
        <v>2017</v>
      </c>
      <c r="N346" s="341" t="s">
        <v>1366</v>
      </c>
    </row>
    <row r="347" spans="1:14" ht="11.25" customHeight="1">
      <c r="A347" s="424"/>
      <c r="B347" s="425" t="s">
        <v>478</v>
      </c>
      <c r="C347" s="426">
        <v>4860.83</v>
      </c>
      <c r="D347" s="426">
        <v>0.16</v>
      </c>
      <c r="E347" s="426">
        <v>0.59</v>
      </c>
      <c r="F347" s="426">
        <v>0.81</v>
      </c>
      <c r="G347" s="426">
        <v>1.78</v>
      </c>
      <c r="H347" s="427">
        <v>2.54</v>
      </c>
      <c r="J347" s="341">
        <f>C347/$C$248</f>
        <v>1.5548237687482607</v>
      </c>
      <c r="L347" s="341">
        <v>9</v>
      </c>
      <c r="M347" s="341">
        <v>2017</v>
      </c>
      <c r="N347" s="341" t="s">
        <v>1367</v>
      </c>
    </row>
    <row r="348" spans="1:14">
      <c r="A348" s="448"/>
      <c r="B348" s="452" t="s">
        <v>479</v>
      </c>
      <c r="C348" s="450">
        <v>4881.25</v>
      </c>
      <c r="D348" s="450">
        <v>0.42</v>
      </c>
      <c r="E348" s="450">
        <v>0.77</v>
      </c>
      <c r="F348" s="450">
        <v>1.0900000000000001</v>
      </c>
      <c r="G348" s="450">
        <v>2.21</v>
      </c>
      <c r="H348" s="451">
        <v>2.7</v>
      </c>
      <c r="J348" s="341">
        <f t="shared" ref="J348:J353" si="4">C348/$C$248</f>
        <v>1.5613554724609682</v>
      </c>
      <c r="L348" s="341">
        <v>10</v>
      </c>
      <c r="M348" s="341">
        <v>2017</v>
      </c>
      <c r="N348" s="341" t="s">
        <v>1368</v>
      </c>
    </row>
    <row r="349" spans="1:14">
      <c r="A349" s="448"/>
      <c r="B349" s="452" t="s">
        <v>480</v>
      </c>
      <c r="C349" s="450">
        <v>4894.92</v>
      </c>
      <c r="D349" s="450">
        <v>0.28000000000000003</v>
      </c>
      <c r="E349" s="450">
        <v>0.86</v>
      </c>
      <c r="F349" s="450">
        <v>1.06</v>
      </c>
      <c r="G349" s="450">
        <v>2.5</v>
      </c>
      <c r="H349" s="451">
        <v>2.8</v>
      </c>
      <c r="J349" s="341">
        <f t="shared" si="4"/>
        <v>1.565728067453755</v>
      </c>
      <c r="L349" s="341">
        <v>11</v>
      </c>
      <c r="M349" s="341">
        <v>2017</v>
      </c>
      <c r="N349" s="341" t="s">
        <v>1369</v>
      </c>
    </row>
    <row r="350" spans="1:14">
      <c r="A350" s="448"/>
      <c r="B350" s="452" t="s">
        <v>481</v>
      </c>
      <c r="C350" s="450">
        <v>4916.46</v>
      </c>
      <c r="D350" s="450">
        <v>0.44</v>
      </c>
      <c r="E350" s="450">
        <v>1.1399999999999999</v>
      </c>
      <c r="F350" s="450">
        <v>1.74</v>
      </c>
      <c r="G350" s="450">
        <v>2.95</v>
      </c>
      <c r="H350" s="451">
        <v>2.95</v>
      </c>
      <c r="J350" s="341">
        <f t="shared" si="4"/>
        <v>1.57261802327999</v>
      </c>
      <c r="L350" s="341">
        <v>12</v>
      </c>
      <c r="M350" s="341">
        <v>2017</v>
      </c>
      <c r="N350" s="341" t="s">
        <v>1370</v>
      </c>
    </row>
    <row r="351" spans="1:14">
      <c r="A351" s="453"/>
      <c r="B351" s="449"/>
      <c r="C351" s="450"/>
      <c r="D351" s="450"/>
      <c r="E351" s="450"/>
      <c r="F351" s="450"/>
      <c r="G351" s="450"/>
      <c r="H351" s="451"/>
      <c r="L351" s="378"/>
      <c r="M351" s="378"/>
    </row>
    <row r="352" spans="1:14">
      <c r="A352" s="453">
        <v>2018</v>
      </c>
      <c r="B352" s="449" t="s">
        <v>470</v>
      </c>
      <c r="C352" s="450">
        <v>4930.72</v>
      </c>
      <c r="D352" s="450">
        <v>0.28999999999999998</v>
      </c>
      <c r="E352" s="450">
        <v>1.01</v>
      </c>
      <c r="F352" s="450">
        <v>1.79</v>
      </c>
      <c r="G352" s="450">
        <v>0.28999999999999998</v>
      </c>
      <c r="H352" s="451">
        <v>2.86</v>
      </c>
      <c r="J352" s="341">
        <f t="shared" si="4"/>
        <v>1.5771793403682961</v>
      </c>
      <c r="L352" s="341">
        <v>1</v>
      </c>
      <c r="M352" s="341">
        <v>2018</v>
      </c>
      <c r="N352" s="341" t="s">
        <v>1371</v>
      </c>
    </row>
    <row r="353" spans="1:14">
      <c r="A353" s="453"/>
      <c r="B353" s="449" t="s">
        <v>471</v>
      </c>
      <c r="C353" s="450">
        <v>4946.5</v>
      </c>
      <c r="D353" s="450">
        <v>0.32</v>
      </c>
      <c r="E353" s="450">
        <v>1.05</v>
      </c>
      <c r="F353" s="450">
        <v>1.93</v>
      </c>
      <c r="G353" s="450">
        <v>0.61</v>
      </c>
      <c r="H353" s="451">
        <v>2.84</v>
      </c>
      <c r="J353" s="341">
        <f t="shared" si="4"/>
        <v>1.5822268567535323</v>
      </c>
      <c r="L353" s="341">
        <v>2</v>
      </c>
      <c r="M353" s="341">
        <v>2018</v>
      </c>
      <c r="N353" s="341" t="s">
        <v>1372</v>
      </c>
    </row>
    <row r="354" spans="1:14">
      <c r="A354" s="453"/>
      <c r="B354" s="449" t="s">
        <v>472</v>
      </c>
      <c r="C354" s="450">
        <v>4950.95</v>
      </c>
      <c r="D354" s="450">
        <v>0.09</v>
      </c>
      <c r="E354" s="450">
        <v>0.7</v>
      </c>
      <c r="F354" s="450">
        <v>1.85</v>
      </c>
      <c r="G354" s="450">
        <v>0.7</v>
      </c>
      <c r="H354" s="451">
        <v>2.68</v>
      </c>
      <c r="J354" s="341">
        <f>C354/$C$248</f>
        <v>1.583650269168887</v>
      </c>
      <c r="L354" s="341">
        <v>3</v>
      </c>
      <c r="M354" s="341">
        <v>2018</v>
      </c>
      <c r="N354" s="341" t="s">
        <v>1373</v>
      </c>
    </row>
    <row r="355" spans="1:14">
      <c r="A355" s="453"/>
      <c r="B355" s="449" t="s">
        <v>473</v>
      </c>
      <c r="C355" s="450">
        <v>4961.84</v>
      </c>
      <c r="D355" s="450">
        <v>0.22</v>
      </c>
      <c r="E355" s="450">
        <v>0.63</v>
      </c>
      <c r="F355" s="450">
        <v>1.65</v>
      </c>
      <c r="G355" s="450">
        <v>0.92</v>
      </c>
      <c r="H355" s="451">
        <v>2.76</v>
      </c>
      <c r="J355" s="341">
        <f t="shared" ref="J355:J363" si="5">C355/$C$248</f>
        <v>1.5871336312370254</v>
      </c>
      <c r="L355" s="341">
        <v>4</v>
      </c>
      <c r="M355" s="341">
        <v>2018</v>
      </c>
      <c r="N355" s="341" t="s">
        <v>1374</v>
      </c>
    </row>
    <row r="356" spans="1:14">
      <c r="A356" s="453"/>
      <c r="B356" s="449" t="s">
        <v>474</v>
      </c>
      <c r="C356" s="450">
        <v>4981.6899999999996</v>
      </c>
      <c r="D356" s="450">
        <v>0.4</v>
      </c>
      <c r="E356" s="450">
        <v>0.71</v>
      </c>
      <c r="F356" s="450">
        <v>1.77</v>
      </c>
      <c r="G356" s="450">
        <v>1.33</v>
      </c>
      <c r="H356" s="451">
        <v>2.86</v>
      </c>
      <c r="J356" s="341">
        <f t="shared" si="5"/>
        <v>1.5934830102133839</v>
      </c>
      <c r="L356" s="341">
        <v>5</v>
      </c>
      <c r="M356" s="341">
        <v>2018</v>
      </c>
      <c r="N356" s="341" t="s">
        <v>1375</v>
      </c>
    </row>
    <row r="357" spans="1:14">
      <c r="A357" s="448"/>
      <c r="B357" s="452" t="s">
        <v>475</v>
      </c>
      <c r="C357" s="450">
        <v>5044.46</v>
      </c>
      <c r="D357" s="450">
        <v>1.26</v>
      </c>
      <c r="E357" s="450">
        <v>1.89</v>
      </c>
      <c r="F357" s="450">
        <v>2.6</v>
      </c>
      <c r="G357" s="450">
        <v>2.6</v>
      </c>
      <c r="H357" s="451">
        <v>4.3899999999999997</v>
      </c>
      <c r="J357" s="341">
        <f t="shared" si="5"/>
        <v>1.6135611219688513</v>
      </c>
      <c r="L357" s="341">
        <v>6</v>
      </c>
      <c r="M357" s="341">
        <v>2018</v>
      </c>
      <c r="N357" s="341" t="s">
        <v>1376</v>
      </c>
    </row>
    <row r="358" spans="1:14">
      <c r="A358" s="453"/>
      <c r="B358" s="449" t="s">
        <v>476</v>
      </c>
      <c r="C358" s="450">
        <v>5061.1099999999997</v>
      </c>
      <c r="D358" s="450">
        <v>0.33</v>
      </c>
      <c r="E358" s="450">
        <v>2</v>
      </c>
      <c r="F358" s="450">
        <v>2.64</v>
      </c>
      <c r="G358" s="450">
        <v>2.94</v>
      </c>
      <c r="H358" s="451">
        <v>4.4800000000000004</v>
      </c>
      <c r="J358" s="341">
        <f t="shared" si="5"/>
        <v>1.6188869234779881</v>
      </c>
      <c r="L358" s="341">
        <v>7</v>
      </c>
      <c r="M358" s="341">
        <v>2018</v>
      </c>
      <c r="N358" s="341" t="s">
        <v>1377</v>
      </c>
    </row>
    <row r="359" spans="1:14">
      <c r="A359" s="448"/>
      <c r="B359" s="452" t="s">
        <v>477</v>
      </c>
      <c r="C359" s="450">
        <v>5056.5600000000004</v>
      </c>
      <c r="D359" s="450">
        <v>-0.09</v>
      </c>
      <c r="E359" s="450">
        <v>1.5</v>
      </c>
      <c r="F359" s="450">
        <v>2.23</v>
      </c>
      <c r="G359" s="450">
        <v>2.85</v>
      </c>
      <c r="H359" s="451">
        <v>4.1900000000000004</v>
      </c>
      <c r="J359" s="341">
        <f t="shared" si="5"/>
        <v>1.6174315242667827</v>
      </c>
      <c r="L359" s="341">
        <v>8</v>
      </c>
      <c r="M359" s="341">
        <v>2018</v>
      </c>
      <c r="N359" s="341" t="s">
        <v>1378</v>
      </c>
    </row>
    <row r="360" spans="1:14">
      <c r="A360" s="453"/>
      <c r="B360" s="449" t="s">
        <v>478</v>
      </c>
      <c r="C360" s="450">
        <v>5080.83</v>
      </c>
      <c r="D360" s="450">
        <v>0.48</v>
      </c>
      <c r="E360" s="450">
        <v>0.72</v>
      </c>
      <c r="F360" s="450">
        <v>2.62</v>
      </c>
      <c r="G360" s="450">
        <v>3.34</v>
      </c>
      <c r="H360" s="451">
        <v>4.53</v>
      </c>
      <c r="J360" s="341">
        <f t="shared" si="5"/>
        <v>1.6251947196197409</v>
      </c>
      <c r="L360" s="341">
        <v>9</v>
      </c>
      <c r="M360" s="341">
        <v>2018</v>
      </c>
      <c r="N360" s="341" t="s">
        <v>1379</v>
      </c>
    </row>
    <row r="361" spans="1:14">
      <c r="A361" s="453"/>
      <c r="B361" s="449" t="s">
        <v>479</v>
      </c>
      <c r="C361" s="450">
        <v>5103.6899999999996</v>
      </c>
      <c r="D361" s="450">
        <v>0.45</v>
      </c>
      <c r="E361" s="450">
        <v>0.84</v>
      </c>
      <c r="F361" s="450">
        <v>2.86</v>
      </c>
      <c r="G361" s="450">
        <v>3.81</v>
      </c>
      <c r="H361" s="451">
        <v>4.5599999999999996</v>
      </c>
      <c r="J361" s="341">
        <f t="shared" si="5"/>
        <v>1.6325069011512048</v>
      </c>
      <c r="L361" s="341">
        <v>10</v>
      </c>
      <c r="M361" s="341">
        <v>2018</v>
      </c>
      <c r="N361" s="341" t="s">
        <v>1380</v>
      </c>
    </row>
    <row r="362" spans="1:14" s="337" customFormat="1" ht="15.75">
      <c r="A362" s="453"/>
      <c r="B362" s="449" t="s">
        <v>480</v>
      </c>
      <c r="C362" s="450">
        <v>5092.97</v>
      </c>
      <c r="D362" s="450">
        <v>-0.21</v>
      </c>
      <c r="E362" s="450">
        <v>0.72</v>
      </c>
      <c r="F362" s="450">
        <v>2.23</v>
      </c>
      <c r="G362" s="450">
        <v>3.59</v>
      </c>
      <c r="H362" s="451">
        <v>4.05</v>
      </c>
      <c r="J362" s="341">
        <f t="shared" si="5"/>
        <v>1.6290779166360128</v>
      </c>
      <c r="L362" s="341">
        <v>11</v>
      </c>
      <c r="M362" s="341">
        <v>2018</v>
      </c>
      <c r="N362" s="341" t="s">
        <v>1381</v>
      </c>
    </row>
    <row r="363" spans="1:14" ht="12" thickBot="1">
      <c r="A363" s="606"/>
      <c r="B363" s="594" t="s">
        <v>481</v>
      </c>
      <c r="C363" s="595">
        <v>5100.6099999999997</v>
      </c>
      <c r="D363" s="595">
        <v>0.15</v>
      </c>
      <c r="E363" s="595">
        <v>0.39</v>
      </c>
      <c r="F363" s="595">
        <v>1.1100000000000001</v>
      </c>
      <c r="G363" s="595">
        <v>3.75</v>
      </c>
      <c r="H363" s="596">
        <v>3.75</v>
      </c>
      <c r="J363" s="341">
        <f t="shared" si="5"/>
        <v>1.6315217078390041</v>
      </c>
      <c r="L363" s="341">
        <v>12</v>
      </c>
      <c r="M363" s="341">
        <v>2018</v>
      </c>
      <c r="N363" s="341" t="s">
        <v>1382</v>
      </c>
    </row>
    <row r="364" spans="1:14" ht="12" thickTop="1">
      <c r="A364" s="448"/>
      <c r="B364" s="449"/>
      <c r="C364" s="607"/>
      <c r="D364" s="607"/>
      <c r="E364" s="607"/>
      <c r="F364" s="607"/>
      <c r="G364" s="607"/>
      <c r="H364" s="608"/>
    </row>
    <row r="365" spans="1:14">
      <c r="A365" s="448"/>
      <c r="B365" s="449"/>
      <c r="C365" s="607"/>
      <c r="D365" s="607"/>
      <c r="E365" s="607"/>
      <c r="F365" s="607"/>
      <c r="G365" s="607"/>
      <c r="H365" s="608"/>
    </row>
    <row r="366" spans="1:14" ht="16.5">
      <c r="A366" s="913" t="s">
        <v>461</v>
      </c>
      <c r="B366" s="913"/>
      <c r="C366" s="913"/>
      <c r="D366" s="913"/>
      <c r="E366" s="913"/>
      <c r="F366" s="913"/>
      <c r="G366" s="913"/>
      <c r="H366" s="913"/>
    </row>
    <row r="367" spans="1:14" ht="12" thickBot="1">
      <c r="A367" s="609"/>
      <c r="B367" s="609"/>
      <c r="C367" s="610"/>
      <c r="D367" s="609"/>
      <c r="E367" s="609"/>
      <c r="F367" s="609"/>
      <c r="G367" s="609"/>
      <c r="H367" s="611" t="s">
        <v>484</v>
      </c>
    </row>
    <row r="368" spans="1:14" ht="14.25" thickTop="1">
      <c r="A368" s="612"/>
      <c r="B368" s="612"/>
      <c r="C368" s="613"/>
      <c r="D368" s="614"/>
      <c r="E368" s="615"/>
      <c r="F368" s="615" t="s">
        <v>463</v>
      </c>
      <c r="G368" s="615"/>
      <c r="H368" s="616"/>
    </row>
    <row r="369" spans="1:14" ht="13.5">
      <c r="A369" s="617" t="s">
        <v>31</v>
      </c>
      <c r="B369" s="618" t="s">
        <v>464</v>
      </c>
      <c r="C369" s="619" t="s">
        <v>465</v>
      </c>
      <c r="D369" s="914" t="s">
        <v>466</v>
      </c>
      <c r="E369" s="915"/>
      <c r="F369" s="915"/>
      <c r="G369" s="915"/>
      <c r="H369" s="915"/>
    </row>
    <row r="370" spans="1:14" ht="13.5">
      <c r="A370" s="617"/>
      <c r="B370" s="618"/>
      <c r="C370" s="620" t="s">
        <v>467</v>
      </c>
      <c r="D370" s="621" t="s">
        <v>468</v>
      </c>
      <c r="E370" s="621">
        <v>3</v>
      </c>
      <c r="F370" s="621">
        <v>6</v>
      </c>
      <c r="G370" s="621" t="s">
        <v>468</v>
      </c>
      <c r="H370" s="622">
        <v>12</v>
      </c>
    </row>
    <row r="371" spans="1:14" ht="14.25" thickBot="1">
      <c r="A371" s="623"/>
      <c r="B371" s="623"/>
      <c r="C371" s="624"/>
      <c r="D371" s="625" t="s">
        <v>464</v>
      </c>
      <c r="E371" s="626" t="s">
        <v>469</v>
      </c>
      <c r="F371" s="626" t="s">
        <v>469</v>
      </c>
      <c r="G371" s="626" t="s">
        <v>31</v>
      </c>
      <c r="H371" s="627" t="s">
        <v>469</v>
      </c>
    </row>
    <row r="372" spans="1:14">
      <c r="A372" s="453"/>
      <c r="B372" s="449"/>
      <c r="C372" s="450"/>
      <c r="D372" s="450"/>
      <c r="E372" s="450"/>
      <c r="F372" s="450"/>
      <c r="G372" s="450"/>
      <c r="H372" s="451"/>
      <c r="L372" s="378" t="s">
        <v>574</v>
      </c>
      <c r="M372" s="378" t="s">
        <v>516</v>
      </c>
      <c r="N372" s="341" t="s">
        <v>1334</v>
      </c>
    </row>
    <row r="373" spans="1:14">
      <c r="A373" s="453">
        <v>2019</v>
      </c>
      <c r="B373" s="449" t="s">
        <v>470</v>
      </c>
      <c r="C373" s="450">
        <v>5116.93</v>
      </c>
      <c r="D373" s="450">
        <v>0.32</v>
      </c>
      <c r="E373" s="450">
        <v>0.26</v>
      </c>
      <c r="F373" s="450">
        <v>1.1000000000000001</v>
      </c>
      <c r="G373" s="450">
        <v>0.32</v>
      </c>
      <c r="H373" s="451">
        <v>3.78</v>
      </c>
      <c r="J373" s="341">
        <f t="shared" ref="J373:J391" si="6">C373/$C$248</f>
        <v>1.6367419529218339</v>
      </c>
      <c r="L373" s="341">
        <v>1</v>
      </c>
      <c r="M373" s="341">
        <v>2019</v>
      </c>
      <c r="N373" s="341" t="s">
        <v>1383</v>
      </c>
    </row>
    <row r="374" spans="1:14">
      <c r="A374" s="453"/>
      <c r="B374" s="449" t="s">
        <v>471</v>
      </c>
      <c r="C374" s="450">
        <v>5138.93</v>
      </c>
      <c r="D374" s="450">
        <v>0.43</v>
      </c>
      <c r="E374" s="450">
        <v>0.9</v>
      </c>
      <c r="F374" s="450">
        <v>1.63</v>
      </c>
      <c r="G374" s="450">
        <v>0.75</v>
      </c>
      <c r="H374" s="451">
        <v>3.89</v>
      </c>
      <c r="J374" s="341">
        <f t="shared" si="6"/>
        <v>1.643779048008982</v>
      </c>
      <c r="L374" s="341">
        <v>2</v>
      </c>
      <c r="M374" s="341">
        <v>2019</v>
      </c>
      <c r="N374" s="341" t="s">
        <v>1384</v>
      </c>
    </row>
    <row r="375" spans="1:14">
      <c r="A375" s="448"/>
      <c r="B375" s="452" t="s">
        <v>472</v>
      </c>
      <c r="C375" s="450">
        <v>5177.47</v>
      </c>
      <c r="D375" s="450">
        <v>0.75</v>
      </c>
      <c r="E375" s="450">
        <v>1.51</v>
      </c>
      <c r="F375" s="450">
        <v>1.9</v>
      </c>
      <c r="G375" s="450">
        <v>1.51</v>
      </c>
      <c r="H375" s="451">
        <v>4.58</v>
      </c>
      <c r="J375" s="341">
        <f t="shared" si="6"/>
        <v>1.6561067591298313</v>
      </c>
      <c r="L375" s="341">
        <v>3</v>
      </c>
      <c r="M375" s="341">
        <v>2019</v>
      </c>
      <c r="N375" s="341" t="s">
        <v>1385</v>
      </c>
    </row>
    <row r="376" spans="1:14">
      <c r="A376" s="448"/>
      <c r="B376" s="452" t="s">
        <v>473</v>
      </c>
      <c r="C376" s="450">
        <v>5206.9799999999996</v>
      </c>
      <c r="D376" s="450">
        <v>0.56999999999999995</v>
      </c>
      <c r="E376" s="450">
        <v>1.76</v>
      </c>
      <c r="F376" s="450">
        <v>2.02</v>
      </c>
      <c r="G376" s="450">
        <v>2.09</v>
      </c>
      <c r="H376" s="451">
        <v>4.9400000000000004</v>
      </c>
      <c r="J376" s="341">
        <f t="shared" si="6"/>
        <v>1.6655460625853646</v>
      </c>
      <c r="L376" s="341">
        <v>4</v>
      </c>
      <c r="M376" s="341">
        <v>2019</v>
      </c>
      <c r="N376" s="341" t="s">
        <v>1386</v>
      </c>
    </row>
    <row r="377" spans="1:14">
      <c r="A377" s="448"/>
      <c r="B377" s="452" t="s">
        <v>474</v>
      </c>
      <c r="C377" s="450">
        <v>5213.75</v>
      </c>
      <c r="D377" s="450">
        <v>0.13</v>
      </c>
      <c r="E377" s="450">
        <v>1.46</v>
      </c>
      <c r="F377" s="450">
        <v>2.37</v>
      </c>
      <c r="G377" s="450">
        <v>2.2200000000000002</v>
      </c>
      <c r="H377" s="450">
        <v>4.66</v>
      </c>
      <c r="J377" s="341">
        <f t="shared" si="6"/>
        <v>1.6677115686644552</v>
      </c>
      <c r="L377" s="341">
        <v>5</v>
      </c>
      <c r="M377" s="341">
        <v>2019</v>
      </c>
      <c r="N377" s="341" t="s">
        <v>1387</v>
      </c>
    </row>
    <row r="378" spans="1:14">
      <c r="A378" s="448"/>
      <c r="B378" s="452" t="s">
        <v>475</v>
      </c>
      <c r="C378" s="450">
        <v>5214.2700000000004</v>
      </c>
      <c r="D378" s="450">
        <v>0.01</v>
      </c>
      <c r="E378" s="450">
        <v>0.71</v>
      </c>
      <c r="F378" s="450">
        <v>2.23</v>
      </c>
      <c r="G378" s="450">
        <v>2.23</v>
      </c>
      <c r="H378" s="450">
        <v>3.37</v>
      </c>
      <c r="J378" s="341">
        <f t="shared" si="6"/>
        <v>1.6678779000028789</v>
      </c>
      <c r="L378" s="341">
        <v>6</v>
      </c>
      <c r="M378" s="341">
        <v>2019</v>
      </c>
      <c r="N378" s="341" t="s">
        <v>1388</v>
      </c>
    </row>
    <row r="379" spans="1:14">
      <c r="A379" s="448"/>
      <c r="B379" s="452" t="s">
        <v>476</v>
      </c>
      <c r="C379" s="450">
        <v>5224.18</v>
      </c>
      <c r="D379" s="450">
        <v>0.19</v>
      </c>
      <c r="E379" s="450">
        <v>0.33</v>
      </c>
      <c r="F379" s="450">
        <v>2.1</v>
      </c>
      <c r="G379" s="450">
        <v>2.42</v>
      </c>
      <c r="H379" s="450">
        <v>3.22</v>
      </c>
      <c r="J379" s="341">
        <f t="shared" si="6"/>
        <v>1.6710477914716806</v>
      </c>
      <c r="L379" s="341">
        <v>7</v>
      </c>
      <c r="M379" s="341">
        <v>2019</v>
      </c>
      <c r="N379" s="341" t="s">
        <v>1389</v>
      </c>
    </row>
    <row r="380" spans="1:14">
      <c r="A380" s="448"/>
      <c r="B380" s="452" t="s">
        <v>477</v>
      </c>
      <c r="C380" s="450">
        <v>5229.93</v>
      </c>
      <c r="D380" s="450">
        <v>0.11</v>
      </c>
      <c r="E380" s="450">
        <v>0.31</v>
      </c>
      <c r="F380" s="450">
        <v>1.77</v>
      </c>
      <c r="G380" s="450">
        <v>2.54</v>
      </c>
      <c r="H380" s="450">
        <v>3.43</v>
      </c>
      <c r="J380" s="341">
        <f t="shared" si="6"/>
        <v>1.6728870322330942</v>
      </c>
      <c r="L380" s="341">
        <v>8</v>
      </c>
      <c r="M380" s="341">
        <v>2019</v>
      </c>
      <c r="N380" s="341" t="s">
        <v>1390</v>
      </c>
    </row>
    <row r="381" spans="1:14">
      <c r="A381" s="448"/>
      <c r="B381" s="452" t="s">
        <v>478</v>
      </c>
      <c r="C381" s="450">
        <v>5227.84</v>
      </c>
      <c r="D381" s="450">
        <v>-0.04</v>
      </c>
      <c r="E381" s="450">
        <v>0.26</v>
      </c>
      <c r="F381" s="450">
        <v>0.97</v>
      </c>
      <c r="G381" s="450">
        <v>2.4900000000000002</v>
      </c>
      <c r="H381" s="450">
        <v>2.89</v>
      </c>
      <c r="J381" s="341">
        <f t="shared" si="6"/>
        <v>1.6722185081998151</v>
      </c>
      <c r="L381" s="341">
        <v>9</v>
      </c>
      <c r="M381" s="341">
        <v>2019</v>
      </c>
      <c r="N381" s="341" t="s">
        <v>1391</v>
      </c>
    </row>
    <row r="382" spans="1:14">
      <c r="A382" s="448"/>
      <c r="B382" s="452" t="s">
        <v>479</v>
      </c>
      <c r="C382" s="450">
        <v>5233.07</v>
      </c>
      <c r="D382" s="450">
        <v>0.1</v>
      </c>
      <c r="E382" s="450">
        <v>0.17</v>
      </c>
      <c r="F382" s="450">
        <v>0.5</v>
      </c>
      <c r="G382" s="450">
        <v>2.6</v>
      </c>
      <c r="H382" s="450">
        <v>2.54</v>
      </c>
      <c r="J382" s="341">
        <f t="shared" si="6"/>
        <v>1.6738914176228052</v>
      </c>
      <c r="L382" s="341">
        <v>10</v>
      </c>
      <c r="M382" s="341">
        <v>2019</v>
      </c>
      <c r="N382" s="341" t="s">
        <v>1392</v>
      </c>
    </row>
    <row r="383" spans="1:14">
      <c r="A383" s="448"/>
      <c r="B383" s="452" t="s">
        <v>480</v>
      </c>
      <c r="C383" s="450">
        <v>5259.76</v>
      </c>
      <c r="D383" s="450">
        <v>0.51</v>
      </c>
      <c r="E383" s="450">
        <v>0.56999999999999995</v>
      </c>
      <c r="F383" s="450">
        <v>0.88</v>
      </c>
      <c r="G383" s="450">
        <v>3.12</v>
      </c>
      <c r="H383" s="450">
        <v>3.27</v>
      </c>
      <c r="J383" s="341">
        <f t="shared" si="6"/>
        <v>1.6824286934353501</v>
      </c>
      <c r="L383" s="341">
        <v>11</v>
      </c>
      <c r="M383" s="341">
        <v>2019</v>
      </c>
      <c r="N383" s="341" t="s">
        <v>1393</v>
      </c>
    </row>
    <row r="384" spans="1:14">
      <c r="A384" s="448"/>
      <c r="B384" s="452" t="s">
        <v>481</v>
      </c>
      <c r="C384" s="450">
        <v>5320.25</v>
      </c>
      <c r="D384" s="450">
        <v>1.1499999999999999</v>
      </c>
      <c r="E384" s="450">
        <v>1.77</v>
      </c>
      <c r="F384" s="450">
        <v>2.0299999999999998</v>
      </c>
      <c r="G384" s="450">
        <v>4.3099999999999996</v>
      </c>
      <c r="H384" s="450">
        <v>4.3099999999999996</v>
      </c>
      <c r="J384" s="341">
        <f t="shared" si="6"/>
        <v>1.7017775062454219</v>
      </c>
      <c r="L384" s="341">
        <v>12</v>
      </c>
      <c r="M384" s="341">
        <v>2019</v>
      </c>
      <c r="N384" s="341" t="s">
        <v>1394</v>
      </c>
    </row>
    <row r="385" spans="1:14">
      <c r="A385" s="448"/>
      <c r="B385" s="452"/>
      <c r="C385" s="450"/>
      <c r="D385" s="450"/>
      <c r="E385" s="450"/>
      <c r="F385" s="450"/>
      <c r="G385" s="450"/>
      <c r="H385" s="450"/>
    </row>
    <row r="386" spans="1:14">
      <c r="A386" s="453">
        <v>2020</v>
      </c>
      <c r="B386" s="449" t="s">
        <v>470</v>
      </c>
      <c r="C386" s="450">
        <v>5331.42</v>
      </c>
      <c r="D386" s="450">
        <v>0.21</v>
      </c>
      <c r="E386" s="450">
        <v>1.88</v>
      </c>
      <c r="F386" s="450">
        <v>2.0499999999999998</v>
      </c>
      <c r="G386" s="450">
        <v>0.21</v>
      </c>
      <c r="H386" s="450">
        <v>4.1900000000000004</v>
      </c>
      <c r="J386" s="341">
        <f t="shared" si="6"/>
        <v>1.7053504313419421</v>
      </c>
      <c r="L386" s="341">
        <v>1</v>
      </c>
      <c r="M386" s="341">
        <v>2020</v>
      </c>
      <c r="N386" s="341" t="s">
        <v>1395</v>
      </c>
    </row>
    <row r="387" spans="1:14">
      <c r="A387" s="448"/>
      <c r="B387" s="452" t="s">
        <v>471</v>
      </c>
      <c r="C387" s="450">
        <v>5344.75</v>
      </c>
      <c r="D387" s="450">
        <v>0.25</v>
      </c>
      <c r="E387" s="450">
        <v>1.62</v>
      </c>
      <c r="F387" s="450">
        <v>2.2000000000000002</v>
      </c>
      <c r="G387" s="450">
        <v>0.46</v>
      </c>
      <c r="H387" s="450">
        <v>4.01</v>
      </c>
      <c r="J387" s="341">
        <f t="shared" si="6"/>
        <v>1.7096142712288367</v>
      </c>
      <c r="L387" s="341">
        <v>2</v>
      </c>
      <c r="M387" s="341">
        <v>2020</v>
      </c>
      <c r="N387" s="341" t="s">
        <v>1396</v>
      </c>
    </row>
    <row r="388" spans="1:14">
      <c r="A388" s="448"/>
      <c r="B388" s="452" t="s">
        <v>472</v>
      </c>
      <c r="C388" s="450">
        <v>5348.49</v>
      </c>
      <c r="D388" s="450">
        <v>7.0000000000000007E-2</v>
      </c>
      <c r="E388" s="450">
        <v>0.53</v>
      </c>
      <c r="F388" s="450">
        <v>2.31</v>
      </c>
      <c r="G388" s="450">
        <v>0.53</v>
      </c>
      <c r="H388" s="450">
        <v>3.3</v>
      </c>
      <c r="J388" s="341">
        <f t="shared" si="6"/>
        <v>1.7108105773936519</v>
      </c>
      <c r="L388" s="341">
        <v>3</v>
      </c>
      <c r="M388" s="341">
        <v>2020</v>
      </c>
      <c r="N388" s="341" t="s">
        <v>1397</v>
      </c>
    </row>
    <row r="389" spans="1:14">
      <c r="A389" s="448"/>
      <c r="B389" s="452" t="s">
        <v>473</v>
      </c>
      <c r="C389" s="450">
        <v>5331.91</v>
      </c>
      <c r="D389" s="450">
        <v>-0.31</v>
      </c>
      <c r="E389" s="450">
        <v>0.01</v>
      </c>
      <c r="F389" s="450">
        <v>1.89</v>
      </c>
      <c r="G389" s="450">
        <v>0.22</v>
      </c>
      <c r="H389" s="450">
        <v>2.4</v>
      </c>
      <c r="J389" s="341">
        <f t="shared" si="6"/>
        <v>1.7055071666416104</v>
      </c>
      <c r="L389" s="341">
        <v>4</v>
      </c>
      <c r="M389" s="341">
        <v>2020</v>
      </c>
      <c r="N389" s="341" t="s">
        <v>1398</v>
      </c>
    </row>
    <row r="390" spans="1:14">
      <c r="A390" s="453"/>
      <c r="B390" s="449" t="s">
        <v>474</v>
      </c>
      <c r="C390" s="450">
        <v>5311.65</v>
      </c>
      <c r="D390" s="450">
        <v>-0.38</v>
      </c>
      <c r="E390" s="450">
        <v>-0.62</v>
      </c>
      <c r="F390" s="450">
        <v>0.99</v>
      </c>
      <c r="G390" s="450">
        <v>-0.16</v>
      </c>
      <c r="H390" s="450">
        <v>1.88</v>
      </c>
      <c r="J390" s="341">
        <f t="shared" si="6"/>
        <v>1.6990266418022639</v>
      </c>
      <c r="L390" s="341">
        <v>5</v>
      </c>
      <c r="M390" s="341">
        <v>2020</v>
      </c>
      <c r="N390" s="341" t="s">
        <v>1399</v>
      </c>
    </row>
    <row r="391" spans="1:14">
      <c r="A391" s="448"/>
      <c r="B391" s="452" t="s">
        <v>475</v>
      </c>
      <c r="C391" s="450">
        <v>5325.46</v>
      </c>
      <c r="D391" s="450">
        <v>0.26</v>
      </c>
      <c r="E391" s="450">
        <v>-0.43</v>
      </c>
      <c r="F391" s="450">
        <v>0.1</v>
      </c>
      <c r="G391" s="450">
        <v>0.1</v>
      </c>
      <c r="H391" s="450">
        <v>2.13</v>
      </c>
      <c r="J391" s="341">
        <f t="shared" si="6"/>
        <v>1.7034440183092421</v>
      </c>
      <c r="L391" s="341">
        <v>6</v>
      </c>
      <c r="M391" s="341">
        <v>2020</v>
      </c>
      <c r="N391" s="341" t="s">
        <v>1400</v>
      </c>
    </row>
    <row r="392" spans="1:14">
      <c r="A392" s="448"/>
      <c r="B392" s="452" t="s">
        <v>476</v>
      </c>
      <c r="C392" s="450">
        <v>5344.63</v>
      </c>
      <c r="D392" s="450">
        <v>0.36</v>
      </c>
      <c r="E392" s="450">
        <v>0.24</v>
      </c>
      <c r="F392" s="450">
        <v>0.25</v>
      </c>
      <c r="G392" s="450">
        <v>0.46</v>
      </c>
      <c r="H392" s="450">
        <v>2.31</v>
      </c>
      <c r="J392" s="341">
        <f>C392/$C$248</f>
        <v>1.709575887073816</v>
      </c>
      <c r="L392" s="341">
        <v>7</v>
      </c>
      <c r="M392" s="341">
        <v>2020</v>
      </c>
      <c r="N392" s="341" t="s">
        <v>1401</v>
      </c>
    </row>
    <row r="393" spans="1:14">
      <c r="A393" s="448"/>
      <c r="B393" s="452" t="s">
        <v>477</v>
      </c>
      <c r="C393" s="450">
        <v>5357.46</v>
      </c>
      <c r="D393" s="450">
        <v>0.24</v>
      </c>
      <c r="E393" s="450">
        <v>0.86</v>
      </c>
      <c r="F393" s="450">
        <v>0.24</v>
      </c>
      <c r="G393" s="450">
        <v>0.7</v>
      </c>
      <c r="H393" s="450">
        <v>2.44</v>
      </c>
      <c r="J393" s="341">
        <f>C393/$C$248</f>
        <v>1.7136797929814573</v>
      </c>
      <c r="L393" s="341">
        <v>8</v>
      </c>
      <c r="M393" s="341">
        <v>2020</v>
      </c>
      <c r="N393" s="341" t="s">
        <v>1402</v>
      </c>
    </row>
    <row r="394" spans="1:14">
      <c r="A394" s="448"/>
      <c r="B394" s="452" t="s">
        <v>478</v>
      </c>
      <c r="C394" s="450">
        <f>C393*(1+D394/100)</f>
        <v>5391.7477440000002</v>
      </c>
      <c r="D394" s="450">
        <v>0.64</v>
      </c>
      <c r="E394" s="450"/>
      <c r="F394" s="450"/>
      <c r="G394" s="450">
        <v>1.34</v>
      </c>
      <c r="H394" s="450">
        <v>3.14</v>
      </c>
      <c r="I394" s="739"/>
      <c r="J394" s="341">
        <f t="shared" ref="J394:J395" si="7">C394/$C$248</f>
        <v>1.7246473436565386</v>
      </c>
      <c r="L394" s="341">
        <v>9</v>
      </c>
      <c r="M394" s="341">
        <v>2020</v>
      </c>
      <c r="N394" s="341" t="s">
        <v>1403</v>
      </c>
    </row>
    <row r="395" spans="1:14">
      <c r="A395" s="448"/>
      <c r="B395" s="452" t="s">
        <v>479</v>
      </c>
      <c r="C395" s="450">
        <f>C394*(1+D395/100)</f>
        <v>5438.1167745984003</v>
      </c>
      <c r="D395" s="450">
        <v>0.86</v>
      </c>
      <c r="E395" s="450"/>
      <c r="F395" s="450"/>
      <c r="G395" s="450">
        <v>2.2200000000000002</v>
      </c>
      <c r="H395" s="450">
        <v>3.92</v>
      </c>
      <c r="I395" s="739"/>
      <c r="J395" s="341">
        <f t="shared" si="7"/>
        <v>1.739479310811985</v>
      </c>
      <c r="L395" s="341">
        <v>10</v>
      </c>
      <c r="M395" s="341">
        <v>2020</v>
      </c>
      <c r="N395" s="341" t="s">
        <v>1404</v>
      </c>
    </row>
    <row r="396" spans="1:14">
      <c r="A396" s="448"/>
      <c r="B396" s="452" t="s">
        <v>480</v>
      </c>
      <c r="C396" s="450">
        <v>5486.52</v>
      </c>
      <c r="D396" s="450">
        <v>0.89</v>
      </c>
      <c r="E396" s="450">
        <v>2.41</v>
      </c>
      <c r="F396" s="450">
        <v>3.29</v>
      </c>
      <c r="G396" s="450">
        <v>3.13</v>
      </c>
      <c r="H396" s="450">
        <v>4.3099999999999996</v>
      </c>
      <c r="I396" s="739"/>
      <c r="J396" s="341">
        <f>C396/$C$248</f>
        <v>1.7549619517063357</v>
      </c>
      <c r="L396" s="341">
        <v>11</v>
      </c>
      <c r="M396" s="341">
        <v>2020</v>
      </c>
      <c r="N396" s="341" t="s">
        <v>1405</v>
      </c>
    </row>
    <row r="397" spans="1:14">
      <c r="A397" s="448"/>
      <c r="B397" s="452" t="s">
        <v>481</v>
      </c>
      <c r="C397" s="450">
        <v>5560.59</v>
      </c>
      <c r="D397" s="450">
        <v>1.35</v>
      </c>
      <c r="E397" s="450">
        <v>3.13</v>
      </c>
      <c r="F397" s="450">
        <v>4.42</v>
      </c>
      <c r="G397" s="450">
        <v>4.5199999999999996</v>
      </c>
      <c r="H397" s="450">
        <v>4.5199999999999996</v>
      </c>
      <c r="I397" s="739"/>
      <c r="J397" s="341">
        <f>C397/$C$248</f>
        <v>1.7786545713929292</v>
      </c>
      <c r="L397" s="341">
        <v>12</v>
      </c>
      <c r="M397" s="341">
        <v>2020</v>
      </c>
      <c r="N397" s="341" t="s">
        <v>1406</v>
      </c>
    </row>
    <row r="398" spans="1:14">
      <c r="A398" s="453"/>
      <c r="B398" s="449"/>
      <c r="C398" s="450"/>
      <c r="D398" s="450"/>
      <c r="E398" s="450"/>
      <c r="F398" s="450"/>
      <c r="G398" s="450"/>
      <c r="H398" s="450"/>
    </row>
    <row r="399" spans="1:14">
      <c r="A399" s="453">
        <v>2021</v>
      </c>
      <c r="B399" s="449" t="s">
        <v>470</v>
      </c>
      <c r="C399" s="450">
        <v>5574.49</v>
      </c>
      <c r="D399" s="450">
        <v>0.25</v>
      </c>
      <c r="E399" s="450">
        <v>2.5099999999999998</v>
      </c>
      <c r="F399" s="450">
        <v>4.3</v>
      </c>
      <c r="G399" s="450">
        <v>0.25</v>
      </c>
      <c r="H399" s="450">
        <v>4.5599999999999996</v>
      </c>
      <c r="J399" s="341">
        <f t="shared" ref="J399:J405" si="8">C399/$C$248</f>
        <v>1.7831007360161726</v>
      </c>
      <c r="L399" s="341">
        <v>1</v>
      </c>
      <c r="M399" s="341">
        <v>2021</v>
      </c>
      <c r="N399" s="341" t="s">
        <v>1407</v>
      </c>
    </row>
    <row r="400" spans="1:14">
      <c r="A400" s="453"/>
      <c r="B400" s="449" t="s">
        <v>471</v>
      </c>
      <c r="C400" s="450">
        <v>5622.43</v>
      </c>
      <c r="D400" s="450">
        <v>0.86</v>
      </c>
      <c r="E400" s="450">
        <v>2.48</v>
      </c>
      <c r="F400" s="450">
        <v>4.95</v>
      </c>
      <c r="G400" s="450">
        <v>1.1100000000000001</v>
      </c>
      <c r="H400" s="450">
        <v>5.2</v>
      </c>
      <c r="J400" s="341">
        <f t="shared" si="8"/>
        <v>1.7984352059469852</v>
      </c>
      <c r="L400" s="341">
        <v>2</v>
      </c>
      <c r="M400" s="341">
        <v>2021</v>
      </c>
      <c r="N400" s="341" t="s">
        <v>1408</v>
      </c>
    </row>
    <row r="401" spans="1:14">
      <c r="A401" s="453"/>
      <c r="B401" s="449" t="s">
        <v>472</v>
      </c>
      <c r="C401" s="450">
        <v>5674.72</v>
      </c>
      <c r="D401" s="450">
        <v>0.93</v>
      </c>
      <c r="E401" s="450">
        <v>2.0499999999999998</v>
      </c>
      <c r="F401" s="450">
        <v>5.25</v>
      </c>
      <c r="G401" s="450">
        <v>2.0499999999999998</v>
      </c>
      <c r="H401" s="450">
        <v>6.1</v>
      </c>
      <c r="J401" s="341">
        <f t="shared" si="8"/>
        <v>1.8151611014973019</v>
      </c>
      <c r="L401" s="341">
        <v>3</v>
      </c>
      <c r="M401" s="341">
        <v>2021</v>
      </c>
      <c r="N401" s="341" t="s">
        <v>1409</v>
      </c>
    </row>
    <row r="402" spans="1:14">
      <c r="A402" s="453"/>
      <c r="B402" s="449" t="s">
        <v>473</v>
      </c>
      <c r="C402" s="450">
        <v>5692.31</v>
      </c>
      <c r="D402" s="450">
        <v>0.31</v>
      </c>
      <c r="E402" s="450">
        <v>2.11</v>
      </c>
      <c r="F402" s="450">
        <v>4.67</v>
      </c>
      <c r="G402" s="450">
        <v>2.37</v>
      </c>
      <c r="H402" s="450">
        <v>6.76</v>
      </c>
      <c r="J402" s="341">
        <f t="shared" si="8"/>
        <v>1.8207875788874355</v>
      </c>
      <c r="L402" s="341">
        <v>4</v>
      </c>
      <c r="M402" s="341">
        <v>2021</v>
      </c>
      <c r="N402" s="341" t="s">
        <v>1410</v>
      </c>
    </row>
    <row r="403" spans="1:14">
      <c r="A403" s="453"/>
      <c r="B403" s="449" t="s">
        <v>474</v>
      </c>
      <c r="C403" s="450">
        <v>5739.56</v>
      </c>
      <c r="D403" s="450">
        <v>0.83</v>
      </c>
      <c r="E403" s="450">
        <v>2.08</v>
      </c>
      <c r="F403" s="450">
        <v>4.6100000000000003</v>
      </c>
      <c r="G403" s="450">
        <v>3.22</v>
      </c>
      <c r="H403" s="450">
        <v>8.06</v>
      </c>
      <c r="J403" s="341">
        <f t="shared" si="8"/>
        <v>1.8359013399268784</v>
      </c>
      <c r="L403" s="341">
        <v>5</v>
      </c>
      <c r="M403" s="341">
        <v>2021</v>
      </c>
      <c r="N403" s="341" t="s">
        <v>1411</v>
      </c>
    </row>
    <row r="404" spans="1:14">
      <c r="A404" s="448"/>
      <c r="B404" s="452" t="s">
        <v>475</v>
      </c>
      <c r="C404" s="450">
        <v>5769.98</v>
      </c>
      <c r="D404" s="450">
        <v>0.53</v>
      </c>
      <c r="E404" s="450">
        <v>1.68</v>
      </c>
      <c r="F404" s="450">
        <v>3.77</v>
      </c>
      <c r="G404" s="450">
        <v>3.77</v>
      </c>
      <c r="H404" s="450">
        <v>8.35</v>
      </c>
      <c r="J404" s="341">
        <f t="shared" si="8"/>
        <v>1.8456317232246529</v>
      </c>
      <c r="L404" s="341">
        <v>6</v>
      </c>
      <c r="M404" s="341">
        <v>2021</v>
      </c>
      <c r="N404" s="341" t="s">
        <v>1412</v>
      </c>
    </row>
    <row r="405" spans="1:14">
      <c r="A405" s="448"/>
      <c r="B405" s="452" t="s">
        <v>476</v>
      </c>
      <c r="C405" s="450">
        <v>5825.37</v>
      </c>
      <c r="D405" s="450">
        <v>0.96</v>
      </c>
      <c r="E405" s="450">
        <v>2.34</v>
      </c>
      <c r="F405" s="450">
        <v>4.5</v>
      </c>
      <c r="G405" s="450">
        <v>4.76</v>
      </c>
      <c r="H405" s="450">
        <v>8.99</v>
      </c>
      <c r="J405" s="341">
        <f t="shared" si="8"/>
        <v>1.8633492094463406</v>
      </c>
      <c r="L405" s="341">
        <v>7</v>
      </c>
      <c r="M405" s="341">
        <v>2021</v>
      </c>
      <c r="N405" s="341" t="s">
        <v>1413</v>
      </c>
    </row>
    <row r="406" spans="1:14">
      <c r="A406" s="448"/>
      <c r="B406" s="452" t="s">
        <v>477</v>
      </c>
      <c r="C406" s="450">
        <v>5876.05</v>
      </c>
      <c r="D406" s="450">
        <v>0.87</v>
      </c>
      <c r="E406" s="450">
        <v>2.38</v>
      </c>
      <c r="F406" s="450">
        <v>4.51</v>
      </c>
      <c r="G406" s="450">
        <v>5.67</v>
      </c>
      <c r="H406" s="450">
        <v>9.68</v>
      </c>
      <c r="J406" s="341">
        <f>C406/$C$248</f>
        <v>1.8795601175834615</v>
      </c>
      <c r="L406" s="341">
        <v>8</v>
      </c>
      <c r="M406" s="341">
        <v>2021</v>
      </c>
      <c r="N406" s="341" t="s">
        <v>1414</v>
      </c>
    </row>
    <row r="407" spans="1:14">
      <c r="A407" s="448"/>
      <c r="B407" s="452" t="s">
        <v>478</v>
      </c>
      <c r="C407" s="450">
        <v>5944.21</v>
      </c>
      <c r="D407" s="450">
        <v>1.1599999999999999</v>
      </c>
      <c r="E407" s="450">
        <v>3.02</v>
      </c>
      <c r="F407" s="450">
        <v>4.75</v>
      </c>
      <c r="G407" s="450">
        <v>6.9</v>
      </c>
      <c r="H407" s="450">
        <v>10.25</v>
      </c>
      <c r="J407" s="341">
        <f t="shared" ref="J407:J410" si="9">C407/$C$248</f>
        <v>1.9013623176352803</v>
      </c>
      <c r="L407" s="341">
        <v>9</v>
      </c>
      <c r="M407" s="341">
        <v>2021</v>
      </c>
      <c r="N407" s="341" t="s">
        <v>1415</v>
      </c>
    </row>
    <row r="408" spans="1:14">
      <c r="A408" s="448"/>
      <c r="B408" s="452" t="s">
        <v>479</v>
      </c>
      <c r="C408" s="450">
        <v>6018.51</v>
      </c>
      <c r="D408" s="450">
        <v>1.25</v>
      </c>
      <c r="E408" s="450">
        <v>3.32</v>
      </c>
      <c r="F408" s="450">
        <v>5.73</v>
      </c>
      <c r="G408" s="450">
        <v>8.24</v>
      </c>
      <c r="H408" s="450">
        <v>10.67</v>
      </c>
      <c r="J408" s="341">
        <f t="shared" si="9"/>
        <v>1.9251285069523301</v>
      </c>
      <c r="L408" s="341">
        <v>10</v>
      </c>
      <c r="M408" s="341">
        <v>2021</v>
      </c>
      <c r="N408" s="341" t="s">
        <v>1416</v>
      </c>
    </row>
    <row r="409" spans="1:14">
      <c r="A409" s="448"/>
      <c r="B409" s="452" t="s">
        <v>480</v>
      </c>
      <c r="C409" s="450">
        <v>6075.69</v>
      </c>
      <c r="D409" s="450">
        <v>0.95</v>
      </c>
      <c r="E409" s="450">
        <v>3.4</v>
      </c>
      <c r="F409" s="450">
        <v>5.86</v>
      </c>
      <c r="G409" s="450">
        <v>9.26</v>
      </c>
      <c r="H409" s="450">
        <v>10.74</v>
      </c>
      <c r="J409" s="341">
        <f>C409/$C$248</f>
        <v>1.9434185568197446</v>
      </c>
      <c r="L409" s="341">
        <v>11</v>
      </c>
      <c r="M409" s="341">
        <v>2021</v>
      </c>
      <c r="N409" s="341" t="s">
        <v>1417</v>
      </c>
    </row>
    <row r="410" spans="1:14">
      <c r="A410" s="448"/>
      <c r="B410" s="452" t="s">
        <v>481</v>
      </c>
      <c r="C410" s="450">
        <v>6120.04</v>
      </c>
      <c r="D410" s="450">
        <v>0.73</v>
      </c>
      <c r="E410" s="450">
        <v>2.96</v>
      </c>
      <c r="F410" s="450">
        <v>6.07</v>
      </c>
      <c r="G410" s="450">
        <v>10.06</v>
      </c>
      <c r="H410" s="450">
        <v>10.06</v>
      </c>
      <c r="J410" s="341">
        <f t="shared" si="9"/>
        <v>1.9576047007795183</v>
      </c>
      <c r="L410" s="341">
        <v>12</v>
      </c>
      <c r="M410" s="341">
        <v>2021</v>
      </c>
      <c r="N410" s="341" t="s">
        <v>1418</v>
      </c>
    </row>
    <row r="411" spans="1:14">
      <c r="A411" s="448"/>
      <c r="B411" s="452"/>
      <c r="C411" s="450"/>
      <c r="D411" s="450"/>
      <c r="E411" s="450"/>
      <c r="F411" s="450"/>
      <c r="G411" s="450"/>
      <c r="H411" s="450"/>
    </row>
    <row r="412" spans="1:14">
      <c r="A412" s="453">
        <v>2022</v>
      </c>
      <c r="B412" s="449" t="s">
        <v>470</v>
      </c>
      <c r="C412" s="450">
        <v>6153.09</v>
      </c>
      <c r="D412" s="450">
        <v>0.54</v>
      </c>
      <c r="E412" s="450">
        <v>2.2400000000000002</v>
      </c>
      <c r="F412" s="450">
        <v>5.63</v>
      </c>
      <c r="G412" s="450">
        <v>0.54</v>
      </c>
      <c r="H412" s="450">
        <v>10.38</v>
      </c>
      <c r="J412" s="341">
        <f t="shared" ref="J412:J447" si="10">C412/$C$248</f>
        <v>1.9681763368081657</v>
      </c>
      <c r="L412" s="341">
        <v>1</v>
      </c>
      <c r="M412" s="341">
        <v>2022</v>
      </c>
      <c r="N412" s="341" t="s">
        <v>1419</v>
      </c>
    </row>
    <row r="413" spans="1:14">
      <c r="A413" s="448"/>
      <c r="B413" s="452" t="s">
        <v>471</v>
      </c>
      <c r="C413" s="450">
        <v>6215.24</v>
      </c>
      <c r="D413" s="450">
        <v>1.01</v>
      </c>
      <c r="E413" s="450">
        <v>2.2999999999999998</v>
      </c>
      <c r="F413" s="450">
        <v>5.77</v>
      </c>
      <c r="G413" s="450">
        <v>1.56</v>
      </c>
      <c r="H413" s="450">
        <v>10.54</v>
      </c>
      <c r="J413" s="341">
        <f t="shared" si="10"/>
        <v>1.9880561304293587</v>
      </c>
      <c r="L413" s="341">
        <v>2</v>
      </c>
      <c r="M413" s="341">
        <v>2022</v>
      </c>
      <c r="N413" s="341" t="s">
        <v>1420</v>
      </c>
    </row>
    <row r="414" spans="1:14">
      <c r="A414" s="453"/>
      <c r="B414" s="449" t="s">
        <v>472</v>
      </c>
      <c r="C414" s="450">
        <v>6315.93</v>
      </c>
      <c r="D414" s="450">
        <v>1.62</v>
      </c>
      <c r="E414" s="450">
        <v>3.2</v>
      </c>
      <c r="F414" s="450">
        <v>6.25</v>
      </c>
      <c r="G414" s="450">
        <v>3.2</v>
      </c>
      <c r="H414" s="450">
        <v>11.3</v>
      </c>
      <c r="J414" s="341">
        <f t="shared" si="10"/>
        <v>2.0202636351714012</v>
      </c>
      <c r="L414" s="341">
        <v>3</v>
      </c>
      <c r="M414" s="341">
        <v>2022</v>
      </c>
      <c r="N414" s="341" t="s">
        <v>1421</v>
      </c>
    </row>
    <row r="415" spans="1:14">
      <c r="A415" s="453"/>
      <c r="B415" s="449" t="s">
        <v>473</v>
      </c>
      <c r="C415" s="450">
        <v>6382.88</v>
      </c>
      <c r="D415" s="450">
        <v>1.06</v>
      </c>
      <c r="E415" s="450">
        <v>3.73</v>
      </c>
      <c r="F415" s="450">
        <v>6.05</v>
      </c>
      <c r="G415" s="450">
        <v>4.29</v>
      </c>
      <c r="H415" s="450">
        <v>12.13</v>
      </c>
      <c r="J415" s="341">
        <f t="shared" si="10"/>
        <v>2.0416787949934267</v>
      </c>
      <c r="L415" s="341">
        <v>4</v>
      </c>
      <c r="M415" s="341">
        <v>2022</v>
      </c>
      <c r="N415" s="341" t="s">
        <v>1422</v>
      </c>
    </row>
    <row r="416" spans="1:14">
      <c r="A416" s="453"/>
      <c r="B416" s="449" t="s">
        <v>474</v>
      </c>
      <c r="C416" s="450">
        <v>6412.88</v>
      </c>
      <c r="D416" s="450">
        <v>0.47</v>
      </c>
      <c r="E416" s="450">
        <v>3.18</v>
      </c>
      <c r="F416" s="450">
        <v>5.55</v>
      </c>
      <c r="G416" s="450">
        <v>4.78</v>
      </c>
      <c r="H416" s="450">
        <v>11.73</v>
      </c>
      <c r="J416" s="341">
        <f t="shared" si="10"/>
        <v>2.0512748337486286</v>
      </c>
      <c r="L416" s="341">
        <v>5</v>
      </c>
      <c r="M416" s="341">
        <v>2022</v>
      </c>
      <c r="N416" s="341" t="s">
        <v>1423</v>
      </c>
    </row>
    <row r="417" spans="1:14">
      <c r="A417" s="448"/>
      <c r="B417" s="452" t="s">
        <v>475</v>
      </c>
      <c r="C417" s="450">
        <v>6455.85</v>
      </c>
      <c r="D417" s="450">
        <v>0.67</v>
      </c>
      <c r="E417" s="450">
        <v>2.2200000000000002</v>
      </c>
      <c r="F417" s="450">
        <v>5.49</v>
      </c>
      <c r="G417" s="450">
        <v>5.49</v>
      </c>
      <c r="H417" s="450">
        <v>11.89</v>
      </c>
      <c r="J417" s="341">
        <f t="shared" si="10"/>
        <v>2.0650195599256627</v>
      </c>
      <c r="L417" s="341">
        <v>6</v>
      </c>
      <c r="M417" s="341">
        <v>2022</v>
      </c>
      <c r="N417" s="341" t="s">
        <v>1424</v>
      </c>
    </row>
    <row r="418" spans="1:14">
      <c r="A418" s="448"/>
      <c r="B418" s="452" t="s">
        <v>476</v>
      </c>
      <c r="C418" s="450">
        <v>6411.95</v>
      </c>
      <c r="D418" s="450">
        <v>-0.68</v>
      </c>
      <c r="E418" s="450">
        <v>0.46</v>
      </c>
      <c r="F418" s="450">
        <v>4.21</v>
      </c>
      <c r="G418" s="450">
        <v>4.7699999999999996</v>
      </c>
      <c r="H418" s="450">
        <v>10.07</v>
      </c>
      <c r="J418" s="341">
        <f t="shared" si="10"/>
        <v>2.0509773565472171</v>
      </c>
      <c r="L418" s="341">
        <v>7</v>
      </c>
      <c r="M418" s="341">
        <v>2022</v>
      </c>
      <c r="N418" s="341" t="s">
        <v>1425</v>
      </c>
    </row>
    <row r="419" spans="1:14">
      <c r="A419" s="448"/>
      <c r="B419" s="452" t="s">
        <v>477</v>
      </c>
      <c r="C419" s="450">
        <v>6388.87</v>
      </c>
      <c r="D419" s="450">
        <v>-0.36</v>
      </c>
      <c r="E419" s="450">
        <v>-0.37</v>
      </c>
      <c r="F419" s="450">
        <v>2.79</v>
      </c>
      <c r="G419" s="450">
        <v>4.3899999999999997</v>
      </c>
      <c r="H419" s="450">
        <v>8.73</v>
      </c>
      <c r="J419" s="341">
        <f t="shared" si="10"/>
        <v>2.0435948040648819</v>
      </c>
      <c r="L419" s="341">
        <v>8</v>
      </c>
      <c r="M419" s="341">
        <v>2022</v>
      </c>
      <c r="N419" s="341" t="s">
        <v>1426</v>
      </c>
    </row>
    <row r="420" spans="1:14">
      <c r="A420" s="448"/>
      <c r="B420" s="452" t="s">
        <v>478</v>
      </c>
      <c r="C420" s="450">
        <v>6370.34</v>
      </c>
      <c r="D420" s="450">
        <v>-0.28999999999999998</v>
      </c>
      <c r="E420" s="450">
        <v>-1.32</v>
      </c>
      <c r="F420" s="450">
        <v>0.86</v>
      </c>
      <c r="G420" s="450">
        <v>4.09</v>
      </c>
      <c r="H420" s="450">
        <v>7.17</v>
      </c>
      <c r="J420" s="341">
        <f t="shared" si="10"/>
        <v>2.0376676507937526</v>
      </c>
      <c r="L420" s="341">
        <v>9</v>
      </c>
      <c r="M420" s="341">
        <v>2022</v>
      </c>
      <c r="N420" s="341" t="s">
        <v>1427</v>
      </c>
    </row>
    <row r="421" spans="1:14">
      <c r="A421" s="448"/>
      <c r="B421" s="452" t="s">
        <v>479</v>
      </c>
      <c r="C421" s="450">
        <v>6407.93</v>
      </c>
      <c r="D421" s="450">
        <v>0.59</v>
      </c>
      <c r="E421" s="450">
        <v>-0.06</v>
      </c>
      <c r="F421" s="450">
        <v>0.39</v>
      </c>
      <c r="G421" s="450">
        <v>4.7</v>
      </c>
      <c r="H421" s="450">
        <v>6.47</v>
      </c>
      <c r="J421" s="341">
        <f t="shared" si="10"/>
        <v>2.0496914873540204</v>
      </c>
      <c r="L421" s="341">
        <v>10</v>
      </c>
      <c r="M421" s="341">
        <v>2022</v>
      </c>
      <c r="N421" s="341" t="s">
        <v>1428</v>
      </c>
    </row>
    <row r="422" spans="1:14">
      <c r="A422" s="448"/>
      <c r="B422" s="452" t="s">
        <v>480</v>
      </c>
      <c r="C422" s="450">
        <v>6434.2</v>
      </c>
      <c r="D422" s="450">
        <v>0.41</v>
      </c>
      <c r="E422" s="450">
        <v>0.71</v>
      </c>
      <c r="F422" s="450">
        <v>0.33</v>
      </c>
      <c r="G422" s="450">
        <v>5.13</v>
      </c>
      <c r="H422" s="450">
        <v>5.9</v>
      </c>
      <c r="J422" s="341">
        <f t="shared" si="10"/>
        <v>2.058094418623992</v>
      </c>
      <c r="L422" s="341">
        <v>11</v>
      </c>
      <c r="M422" s="341">
        <v>2022</v>
      </c>
      <c r="N422" s="341" t="s">
        <v>1429</v>
      </c>
    </row>
    <row r="423" spans="1:14">
      <c r="A423" s="448"/>
      <c r="B423" s="452" t="s">
        <v>481</v>
      </c>
      <c r="C423" s="450">
        <v>6474.09</v>
      </c>
      <c r="D423" s="450">
        <v>0.62</v>
      </c>
      <c r="E423" s="450">
        <v>1.63</v>
      </c>
      <c r="F423" s="450">
        <v>0.28000000000000003</v>
      </c>
      <c r="G423" s="450">
        <v>5.79</v>
      </c>
      <c r="H423" s="450">
        <v>5.79</v>
      </c>
      <c r="J423" s="341">
        <f t="shared" si="10"/>
        <v>2.0708539514888256</v>
      </c>
      <c r="L423" s="341">
        <v>12</v>
      </c>
      <c r="M423" s="341">
        <v>2022</v>
      </c>
      <c r="N423" s="341" t="s">
        <v>1430</v>
      </c>
    </row>
    <row r="424" spans="1:14">
      <c r="A424" s="453"/>
      <c r="B424" s="449"/>
      <c r="C424" s="450"/>
      <c r="D424" s="450"/>
      <c r="E424" s="450"/>
      <c r="F424" s="450"/>
      <c r="G424" s="450"/>
      <c r="H424" s="450"/>
    </row>
    <row r="425" spans="1:14">
      <c r="A425" s="453">
        <v>2023</v>
      </c>
      <c r="B425" s="449" t="s">
        <v>470</v>
      </c>
      <c r="C425" s="450">
        <v>6508.4</v>
      </c>
      <c r="D425" s="450">
        <v>0.53</v>
      </c>
      <c r="E425" s="450">
        <v>1.57</v>
      </c>
      <c r="F425" s="450">
        <v>1.5</v>
      </c>
      <c r="G425" s="450">
        <v>0.53</v>
      </c>
      <c r="H425" s="450">
        <v>5.77</v>
      </c>
      <c r="J425" s="341">
        <f t="shared" si="10"/>
        <v>2.0818286211451911</v>
      </c>
      <c r="L425" s="341">
        <v>1</v>
      </c>
      <c r="M425" s="341">
        <v>2023</v>
      </c>
      <c r="N425" s="341" t="s">
        <v>1431</v>
      </c>
    </row>
    <row r="426" spans="1:14">
      <c r="A426" s="453"/>
      <c r="B426" s="804" t="s">
        <v>471</v>
      </c>
      <c r="C426" s="450">
        <v>6563.07</v>
      </c>
      <c r="D426" s="450">
        <v>0.84</v>
      </c>
      <c r="E426" s="450">
        <v>2</v>
      </c>
      <c r="F426" s="450">
        <v>2.73</v>
      </c>
      <c r="G426" s="450">
        <v>1.37</v>
      </c>
      <c r="H426" s="450">
        <v>5.6</v>
      </c>
      <c r="J426" s="341">
        <f t="shared" si="10"/>
        <v>2.0993158024367542</v>
      </c>
      <c r="L426" s="341">
        <v>2</v>
      </c>
      <c r="M426" s="341">
        <v>2023</v>
      </c>
      <c r="N426" s="341" t="s">
        <v>1432</v>
      </c>
    </row>
    <row r="427" spans="1:14">
      <c r="A427" s="453"/>
      <c r="B427" s="449" t="s">
        <v>472</v>
      </c>
      <c r="C427" s="450">
        <v>6609.67</v>
      </c>
      <c r="D427" s="450">
        <v>0.71</v>
      </c>
      <c r="E427" s="450">
        <v>2.09</v>
      </c>
      <c r="F427" s="450">
        <v>3.76</v>
      </c>
      <c r="G427" s="450">
        <v>2.09</v>
      </c>
      <c r="H427" s="450">
        <v>4.6500000000000004</v>
      </c>
      <c r="J427" s="341">
        <f t="shared" si="10"/>
        <v>2.1142216493031678</v>
      </c>
      <c r="L427" s="341">
        <v>3</v>
      </c>
      <c r="M427" s="341">
        <v>2023</v>
      </c>
      <c r="N427" s="341" t="s">
        <v>1433</v>
      </c>
    </row>
    <row r="428" spans="1:14">
      <c r="A428" s="453"/>
      <c r="B428" s="449" t="s">
        <v>473</v>
      </c>
      <c r="C428" s="450">
        <v>6649.99</v>
      </c>
      <c r="D428" s="450">
        <v>0.61</v>
      </c>
      <c r="E428" s="450">
        <v>2.1800000000000002</v>
      </c>
      <c r="F428" s="450">
        <v>3.78</v>
      </c>
      <c r="G428" s="450">
        <v>2.72</v>
      </c>
      <c r="H428" s="450">
        <v>4.18</v>
      </c>
      <c r="J428" s="341">
        <f t="shared" si="10"/>
        <v>2.1271187253901589</v>
      </c>
      <c r="L428" s="341">
        <v>4</v>
      </c>
      <c r="M428" s="341">
        <v>2023</v>
      </c>
      <c r="N428" s="341" t="s">
        <v>1434</v>
      </c>
    </row>
    <row r="429" spans="1:14">
      <c r="A429" s="453"/>
      <c r="B429" s="449" t="s">
        <v>474</v>
      </c>
      <c r="C429" s="450">
        <v>6665.28</v>
      </c>
      <c r="D429" s="450">
        <v>0.23</v>
      </c>
      <c r="E429" s="450">
        <v>1.56</v>
      </c>
      <c r="F429" s="450">
        <v>3.59</v>
      </c>
      <c r="G429" s="450">
        <v>2.95</v>
      </c>
      <c r="H429" s="450">
        <v>3.94</v>
      </c>
      <c r="J429" s="341">
        <f t="shared" si="10"/>
        <v>2.1320095064757267</v>
      </c>
      <c r="L429" s="341">
        <v>5</v>
      </c>
      <c r="M429" s="341">
        <v>2023</v>
      </c>
      <c r="N429" s="341" t="s">
        <v>1435</v>
      </c>
    </row>
    <row r="430" spans="1:14">
      <c r="A430" s="453"/>
      <c r="B430" s="804" t="s">
        <v>475</v>
      </c>
      <c r="C430" s="450">
        <v>6659.95</v>
      </c>
      <c r="D430" s="450">
        <v>-0.08</v>
      </c>
      <c r="E430" s="450">
        <v>0.76</v>
      </c>
      <c r="F430" s="450">
        <v>2.87</v>
      </c>
      <c r="G430" s="450">
        <v>2.87</v>
      </c>
      <c r="H430" s="450">
        <v>3.16</v>
      </c>
      <c r="J430" s="341">
        <f t="shared" si="10"/>
        <v>2.1303046102568861</v>
      </c>
      <c r="L430" s="341">
        <v>6</v>
      </c>
      <c r="M430" s="341">
        <v>2023</v>
      </c>
      <c r="N430" s="341" t="s">
        <v>1436</v>
      </c>
    </row>
    <row r="431" spans="1:14">
      <c r="A431" s="453"/>
      <c r="B431" s="804" t="s">
        <v>476</v>
      </c>
      <c r="C431" s="450">
        <v>6667.94</v>
      </c>
      <c r="D431" s="450">
        <v>0.12</v>
      </c>
      <c r="E431" s="450">
        <v>0.27</v>
      </c>
      <c r="F431" s="450">
        <v>2.4500000000000002</v>
      </c>
      <c r="G431" s="450">
        <v>2.99</v>
      </c>
      <c r="H431" s="450">
        <v>3.99</v>
      </c>
      <c r="J431" s="341">
        <f t="shared" si="10"/>
        <v>2.1328603552453544</v>
      </c>
      <c r="L431" s="341">
        <v>7</v>
      </c>
      <c r="M431" s="341">
        <v>2023</v>
      </c>
      <c r="N431" s="341" t="s">
        <v>1437</v>
      </c>
    </row>
    <row r="432" spans="1:14">
      <c r="A432" s="453"/>
      <c r="B432" s="804" t="s">
        <v>477</v>
      </c>
      <c r="C432" s="450">
        <v>6683.28</v>
      </c>
      <c r="D432" s="450">
        <v>0.23</v>
      </c>
      <c r="E432" s="450">
        <v>0.27</v>
      </c>
      <c r="F432" s="450">
        <v>1.83</v>
      </c>
      <c r="G432" s="450">
        <v>3.23</v>
      </c>
      <c r="H432" s="450">
        <v>4.6100000000000003</v>
      </c>
      <c r="J432" s="341">
        <f t="shared" si="10"/>
        <v>2.1377671297288479</v>
      </c>
      <c r="L432" s="341">
        <v>8</v>
      </c>
      <c r="M432" s="341">
        <v>2023</v>
      </c>
      <c r="N432" s="341" t="s">
        <v>1438</v>
      </c>
    </row>
    <row r="433" spans="1:15">
      <c r="A433" s="453"/>
      <c r="B433" s="804" t="s">
        <v>478</v>
      </c>
      <c r="C433" s="450">
        <v>6700.66</v>
      </c>
      <c r="D433" s="450">
        <v>0.26</v>
      </c>
      <c r="E433" s="450">
        <v>0.61</v>
      </c>
      <c r="F433" s="450">
        <v>1.38</v>
      </c>
      <c r="G433" s="450">
        <v>3.5</v>
      </c>
      <c r="H433" s="450">
        <v>5.19</v>
      </c>
      <c r="J433" s="341">
        <f t="shared" si="10"/>
        <v>2.1433264348476948</v>
      </c>
      <c r="L433" s="341">
        <v>9</v>
      </c>
      <c r="M433" s="341">
        <v>2023</v>
      </c>
      <c r="N433" s="341" t="s">
        <v>1439</v>
      </c>
    </row>
    <row r="434" spans="1:15">
      <c r="A434" s="453"/>
      <c r="B434" s="804" t="s">
        <v>479</v>
      </c>
      <c r="C434" s="450">
        <v>6716.74</v>
      </c>
      <c r="D434" s="450">
        <v>0.24</v>
      </c>
      <c r="E434" s="450">
        <v>0.73</v>
      </c>
      <c r="F434" s="450">
        <v>1</v>
      </c>
      <c r="G434" s="450">
        <v>3.75</v>
      </c>
      <c r="H434" s="450">
        <v>4.82</v>
      </c>
      <c r="J434" s="341">
        <f t="shared" si="10"/>
        <v>2.1484699116204831</v>
      </c>
      <c r="L434" s="341">
        <v>10</v>
      </c>
      <c r="M434" s="341">
        <v>2023</v>
      </c>
      <c r="N434" s="341" t="s">
        <v>1440</v>
      </c>
      <c r="O434" s="341">
        <f>C435/C246</f>
        <v>2.1650407418717155</v>
      </c>
    </row>
    <row r="435" spans="1:15">
      <c r="A435" s="453"/>
      <c r="B435" s="804" t="s">
        <v>480</v>
      </c>
      <c r="C435" s="450">
        <v>6735.55</v>
      </c>
      <c r="D435" s="450">
        <v>0.28000000000000003</v>
      </c>
      <c r="E435" s="450">
        <v>0.78</v>
      </c>
      <c r="F435" s="450">
        <v>1.05</v>
      </c>
      <c r="G435" s="450">
        <v>4.04</v>
      </c>
      <c r="H435" s="450">
        <v>4.68</v>
      </c>
      <c r="J435" s="341">
        <f t="shared" si="10"/>
        <v>2.1544866279199946</v>
      </c>
      <c r="L435" s="341">
        <v>11</v>
      </c>
      <c r="M435" s="341">
        <v>2023</v>
      </c>
      <c r="N435" s="341" t="s">
        <v>1441</v>
      </c>
    </row>
    <row r="436" spans="1:15">
      <c r="A436" s="453"/>
      <c r="B436" s="804" t="s">
        <v>481</v>
      </c>
      <c r="C436" s="450">
        <v>6773.27</v>
      </c>
      <c r="D436" s="450">
        <v>0.56000000000000005</v>
      </c>
      <c r="E436" s="450">
        <v>1.08</v>
      </c>
      <c r="F436" s="450">
        <v>1.7</v>
      </c>
      <c r="G436" s="450">
        <v>4.62</v>
      </c>
      <c r="H436" s="450">
        <v>4.62</v>
      </c>
      <c r="J436" s="341">
        <f t="shared" si="10"/>
        <v>2.1665520473148687</v>
      </c>
      <c r="L436" s="341">
        <v>12</v>
      </c>
      <c r="M436" s="341">
        <v>2023</v>
      </c>
      <c r="N436" s="341" t="s">
        <v>1442</v>
      </c>
    </row>
    <row r="437" spans="1:15">
      <c r="A437" s="453"/>
      <c r="B437" s="449"/>
      <c r="C437" s="450"/>
      <c r="D437" s="450"/>
      <c r="E437" s="450"/>
      <c r="F437" s="450"/>
      <c r="G437" s="450"/>
      <c r="H437" s="450"/>
    </row>
    <row r="438" spans="1:15">
      <c r="A438" s="448">
        <v>2024</v>
      </c>
      <c r="B438" s="452" t="s">
        <v>470</v>
      </c>
      <c r="C438" s="450">
        <v>6801.72</v>
      </c>
      <c r="D438" s="450">
        <v>0.42</v>
      </c>
      <c r="E438" s="450">
        <v>1.27</v>
      </c>
      <c r="F438" s="450">
        <v>2.0099999999999998</v>
      </c>
      <c r="G438" s="450">
        <v>0.42</v>
      </c>
      <c r="H438" s="450">
        <v>4.51</v>
      </c>
      <c r="J438" s="341">
        <f t="shared" si="10"/>
        <v>2.1756522907343849</v>
      </c>
      <c r="L438" s="341">
        <v>1</v>
      </c>
      <c r="M438" s="341">
        <v>2024</v>
      </c>
      <c r="N438" s="341" t="s">
        <v>1443</v>
      </c>
    </row>
    <row r="439" spans="1:15" s="872" customFormat="1" ht="15">
      <c r="A439" s="871"/>
      <c r="B439" s="452" t="s">
        <v>471</v>
      </c>
      <c r="C439" s="450">
        <v>6858.17</v>
      </c>
      <c r="D439" s="450">
        <v>0.83</v>
      </c>
      <c r="E439" s="450">
        <v>1.82</v>
      </c>
      <c r="F439" s="450">
        <v>2.62</v>
      </c>
      <c r="G439" s="450">
        <v>1.25</v>
      </c>
      <c r="H439" s="450">
        <v>4.5</v>
      </c>
      <c r="I439" s="450"/>
      <c r="J439" s="341">
        <f t="shared" si="10"/>
        <v>2.1937088369920899</v>
      </c>
      <c r="L439" s="341">
        <v>2</v>
      </c>
      <c r="M439" s="341">
        <v>2024</v>
      </c>
      <c r="N439" s="873" t="s">
        <v>1465</v>
      </c>
    </row>
    <row r="440" spans="1:15" s="872" customFormat="1" ht="15">
      <c r="A440" s="871"/>
      <c r="B440" s="452" t="s">
        <v>472</v>
      </c>
      <c r="C440" s="450">
        <v>6869.14</v>
      </c>
      <c r="D440" s="450">
        <v>0.16</v>
      </c>
      <c r="E440" s="450">
        <v>1.42</v>
      </c>
      <c r="F440" s="450">
        <v>2.5099999999999998</v>
      </c>
      <c r="G440" s="450">
        <v>1.42</v>
      </c>
      <c r="H440" s="450">
        <v>3.93</v>
      </c>
      <c r="I440" s="450"/>
      <c r="J440" s="341">
        <f t="shared" si="10"/>
        <v>2.1972177884969084</v>
      </c>
      <c r="L440" s="341">
        <v>3</v>
      </c>
      <c r="M440" s="341">
        <v>2024</v>
      </c>
      <c r="N440" s="873" t="s">
        <v>1466</v>
      </c>
    </row>
    <row r="441" spans="1:15" s="872" customFormat="1" ht="15">
      <c r="A441" s="871"/>
      <c r="B441" s="452" t="s">
        <v>473</v>
      </c>
      <c r="C441" s="450">
        <v>6895.24</v>
      </c>
      <c r="D441" s="450">
        <v>0.38</v>
      </c>
      <c r="E441" s="450">
        <v>1.37</v>
      </c>
      <c r="F441" s="450">
        <v>2.66</v>
      </c>
      <c r="G441" s="450">
        <v>1.8</v>
      </c>
      <c r="H441" s="450">
        <v>3.69</v>
      </c>
      <c r="I441" s="450"/>
      <c r="J441" s="341">
        <f t="shared" si="10"/>
        <v>2.2055663422139342</v>
      </c>
      <c r="L441" s="341">
        <v>4</v>
      </c>
      <c r="M441" s="341">
        <v>2024</v>
      </c>
      <c r="N441" s="873" t="s">
        <v>1467</v>
      </c>
    </row>
    <row r="442" spans="1:15" s="872" customFormat="1" ht="15">
      <c r="A442" s="871"/>
      <c r="B442" s="452" t="s">
        <v>474</v>
      </c>
      <c r="C442" s="450">
        <v>6926.96</v>
      </c>
      <c r="D442" s="450">
        <v>0.46</v>
      </c>
      <c r="E442" s="450">
        <v>1</v>
      </c>
      <c r="F442" s="450">
        <v>2.84</v>
      </c>
      <c r="G442" s="450">
        <v>2.27</v>
      </c>
      <c r="H442" s="450">
        <v>3.93</v>
      </c>
      <c r="I442" s="450"/>
      <c r="J442" s="341">
        <f t="shared" si="10"/>
        <v>2.2157125538577676</v>
      </c>
      <c r="L442" s="341">
        <v>5</v>
      </c>
      <c r="M442" s="341">
        <v>2024</v>
      </c>
      <c r="N442" s="873" t="s">
        <v>1468</v>
      </c>
    </row>
    <row r="443" spans="1:15" s="872" customFormat="1" ht="15">
      <c r="A443" s="871"/>
      <c r="B443" s="452" t="s">
        <v>475</v>
      </c>
      <c r="C443" s="450">
        <v>6941.51</v>
      </c>
      <c r="D443" s="450">
        <v>0.21</v>
      </c>
      <c r="E443" s="450">
        <v>1.05</v>
      </c>
      <c r="F443" s="450">
        <v>2.48</v>
      </c>
      <c r="G443" s="450">
        <v>2.48</v>
      </c>
      <c r="H443" s="450">
        <v>4.2300000000000004</v>
      </c>
      <c r="I443" s="450"/>
      <c r="J443" s="341">
        <f t="shared" si="10"/>
        <v>2.2203666326540406</v>
      </c>
      <c r="L443" s="341">
        <v>6</v>
      </c>
      <c r="M443" s="341">
        <v>2024</v>
      </c>
      <c r="N443" s="873" t="s">
        <v>1469</v>
      </c>
    </row>
    <row r="444" spans="1:15" s="872" customFormat="1" ht="15">
      <c r="A444" s="871"/>
      <c r="B444" s="452" t="s">
        <v>476</v>
      </c>
      <c r="C444" s="450">
        <v>6967.89</v>
      </c>
      <c r="D444" s="450">
        <v>0.38</v>
      </c>
      <c r="E444" s="450">
        <v>1.05</v>
      </c>
      <c r="F444" s="450">
        <v>2.44</v>
      </c>
      <c r="G444" s="450">
        <v>2.87</v>
      </c>
      <c r="H444" s="450">
        <v>4.5</v>
      </c>
      <c r="I444" s="450"/>
      <c r="J444" s="341">
        <f t="shared" si="10"/>
        <v>2.2288047493994481</v>
      </c>
      <c r="L444" s="341">
        <v>7</v>
      </c>
      <c r="M444" s="341">
        <v>2024</v>
      </c>
      <c r="N444" s="873" t="s">
        <v>1470</v>
      </c>
    </row>
    <row r="445" spans="1:15" s="872" customFormat="1" ht="15">
      <c r="A445" s="871"/>
      <c r="B445" s="452" t="s">
        <v>477</v>
      </c>
      <c r="C445" s="450">
        <v>6966.5</v>
      </c>
      <c r="D445" s="450">
        <v>-0.02</v>
      </c>
      <c r="E445" s="450">
        <v>0.56999999999999995</v>
      </c>
      <c r="F445" s="450">
        <v>1.58</v>
      </c>
      <c r="G445" s="450">
        <v>2.85</v>
      </c>
      <c r="H445" s="450">
        <v>4.24</v>
      </c>
      <c r="I445" s="450"/>
      <c r="J445" s="341">
        <f t="shared" si="10"/>
        <v>2.2283601329371234</v>
      </c>
      <c r="L445" s="341">
        <v>8</v>
      </c>
      <c r="M445" s="341">
        <v>2024</v>
      </c>
      <c r="N445" s="873" t="s">
        <v>1474</v>
      </c>
    </row>
    <row r="446" spans="1:15" s="872" customFormat="1" ht="15">
      <c r="A446" s="871"/>
      <c r="B446" s="452" t="s">
        <v>478</v>
      </c>
      <c r="C446" s="450">
        <v>6997.15</v>
      </c>
      <c r="D446" s="450">
        <v>0.44</v>
      </c>
      <c r="E446" s="450">
        <v>0.8</v>
      </c>
      <c r="F446" s="450">
        <v>1.86</v>
      </c>
      <c r="G446" s="450">
        <v>3.31</v>
      </c>
      <c r="H446" s="450">
        <v>4.42</v>
      </c>
      <c r="I446" s="450"/>
      <c r="J446" s="341">
        <f t="shared" si="10"/>
        <v>2.2381640858653546</v>
      </c>
      <c r="L446" s="341">
        <v>9</v>
      </c>
      <c r="M446" s="341">
        <v>2024</v>
      </c>
      <c r="N446" s="873" t="s">
        <v>1475</v>
      </c>
    </row>
    <row r="447" spans="1:15" s="872" customFormat="1" ht="15">
      <c r="A447" s="871"/>
      <c r="B447" s="452" t="s">
        <v>479</v>
      </c>
      <c r="C447" s="450">
        <v>7036.33</v>
      </c>
      <c r="D447" s="450">
        <v>0.56000000000000005</v>
      </c>
      <c r="E447" s="450">
        <v>0.98</v>
      </c>
      <c r="F447" s="450">
        <v>2.0499999999999998</v>
      </c>
      <c r="G447" s="450">
        <v>3.88</v>
      </c>
      <c r="H447" s="450">
        <v>4.76</v>
      </c>
      <c r="I447" s="450"/>
      <c r="J447" s="341">
        <f t="shared" si="10"/>
        <v>2.2506965124796485</v>
      </c>
      <c r="L447" s="341">
        <v>10</v>
      </c>
      <c r="M447" s="341">
        <v>2024</v>
      </c>
      <c r="N447" s="873" t="s">
        <v>1476</v>
      </c>
    </row>
    <row r="448" spans="1:15" ht="12" thickBot="1">
      <c r="A448" s="805"/>
      <c r="B448" s="594"/>
      <c r="C448" s="595"/>
      <c r="D448" s="595"/>
      <c r="E448" s="595"/>
      <c r="F448" s="595"/>
      <c r="G448" s="595"/>
      <c r="H448" s="596"/>
    </row>
    <row r="449" spans="1:8" ht="12" thickTop="1">
      <c r="A449" s="593" t="s">
        <v>485</v>
      </c>
      <c r="B449" s="628"/>
      <c r="C449" s="629"/>
      <c r="D449" s="628"/>
      <c r="E449" s="628"/>
      <c r="F449" s="628"/>
      <c r="G449" s="628"/>
      <c r="H449" s="630"/>
    </row>
    <row r="450" spans="1:8">
      <c r="A450" s="628" t="s">
        <v>486</v>
      </c>
      <c r="B450" s="628"/>
      <c r="C450" s="629"/>
      <c r="D450" s="628"/>
      <c r="E450" s="629"/>
      <c r="F450" s="628"/>
      <c r="G450" s="628"/>
      <c r="H450" s="630"/>
    </row>
  </sheetData>
  <mergeCells count="15">
    <mergeCell ref="A1:G1"/>
    <mergeCell ref="D4:H4"/>
    <mergeCell ref="A73:H73"/>
    <mergeCell ref="A74:G74"/>
    <mergeCell ref="D77:H77"/>
    <mergeCell ref="A366:H366"/>
    <mergeCell ref="D369:H369"/>
    <mergeCell ref="A146:H146"/>
    <mergeCell ref="D296:H296"/>
    <mergeCell ref="A147:G147"/>
    <mergeCell ref="D150:H150"/>
    <mergeCell ref="A219:H219"/>
    <mergeCell ref="A220:G220"/>
    <mergeCell ref="D223:H223"/>
    <mergeCell ref="A293:G293"/>
  </mergeCells>
  <phoneticPr fontId="14" type="noConversion"/>
  <pageMargins left="0.78740157499999996" right="0.78740157499999996" top="0.984251969" bottom="0.984251969" header="0.49212598499999999" footer="0.49212598499999999"/>
  <pageSetup paperSize="9" scale="86" orientation="portrait" horizontalDpi="0" verticalDpi="0" r:id="rId1"/>
  <headerFooter alignWithMargins="0"/>
  <rowBreaks count="4" manualBreakCount="4">
    <brk id="72" max="7" man="1"/>
    <brk id="145" max="7" man="1"/>
    <brk id="218" max="7" man="1"/>
    <brk id="291" max="7" man="1"/>
  </rowBreaks>
  <colBreaks count="1" manualBreakCount="1">
    <brk id="8" max="1048575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Planilha21">
    <tabColor rgb="FF00B050"/>
  </sheetPr>
  <dimension ref="A1:AO79"/>
  <sheetViews>
    <sheetView showGridLines="0" zoomScale="85" zoomScaleNormal="85" workbookViewId="0">
      <pane xSplit="5" ySplit="3" topLeftCell="K52" activePane="bottomRight" state="frozen"/>
      <selection sqref="A1:G1"/>
      <selection pane="topRight" sqref="A1:G1"/>
      <selection pane="bottomLeft" sqref="A1:G1"/>
      <selection pane="bottomRight" activeCell="R74" sqref="R74"/>
    </sheetView>
  </sheetViews>
  <sheetFormatPr defaultRowHeight="12.75"/>
  <cols>
    <col min="1" max="2" width="14.140625" customWidth="1"/>
    <col min="3" max="3" width="14.140625" style="23" customWidth="1"/>
    <col min="4" max="4" width="47.42578125" customWidth="1"/>
    <col min="5" max="5" width="12.28515625" bestFit="1" customWidth="1"/>
    <col min="6" max="6" width="10.7109375" bestFit="1" customWidth="1"/>
    <col min="11" max="12" width="10.7109375" bestFit="1" customWidth="1"/>
    <col min="13" max="13" width="10.28515625" bestFit="1" customWidth="1"/>
    <col min="14" max="14" width="12.28515625" bestFit="1" customWidth="1"/>
    <col min="15" max="15" width="9.5703125" bestFit="1" customWidth="1"/>
    <col min="16" max="16" width="12.28515625" bestFit="1" customWidth="1"/>
  </cols>
  <sheetData>
    <row r="1" spans="1:41">
      <c r="B1" s="932" t="s">
        <v>603</v>
      </c>
      <c r="C1" s="933"/>
    </row>
    <row r="2" spans="1:41">
      <c r="B2" s="26" t="s">
        <v>604</v>
      </c>
      <c r="C2" s="26" t="s">
        <v>605</v>
      </c>
      <c r="D2" s="407" t="s">
        <v>78</v>
      </c>
      <c r="E2" s="26" t="s">
        <v>4</v>
      </c>
      <c r="F2" s="26">
        <v>1</v>
      </c>
      <c r="G2" s="26">
        <v>2</v>
      </c>
      <c r="H2" s="26">
        <v>3</v>
      </c>
      <c r="I2" s="26">
        <v>4</v>
      </c>
      <c r="J2" s="26">
        <v>5</v>
      </c>
      <c r="K2" s="26">
        <v>6</v>
      </c>
      <c r="L2" s="26">
        <v>7</v>
      </c>
      <c r="M2" s="26">
        <v>8</v>
      </c>
      <c r="N2" s="26">
        <v>9</v>
      </c>
      <c r="O2" s="26">
        <v>10</v>
      </c>
      <c r="P2" s="26">
        <v>11</v>
      </c>
      <c r="Q2" s="26">
        <v>12</v>
      </c>
      <c r="R2" s="26">
        <v>13</v>
      </c>
      <c r="S2" s="26">
        <v>14</v>
      </c>
      <c r="T2" s="26">
        <v>15</v>
      </c>
      <c r="U2" s="26">
        <v>16</v>
      </c>
      <c r="V2" s="26">
        <v>17</v>
      </c>
      <c r="W2" s="26">
        <v>18</v>
      </c>
      <c r="X2" s="26">
        <v>19</v>
      </c>
      <c r="Y2" s="26">
        <v>20</v>
      </c>
      <c r="Z2" s="26">
        <v>21</v>
      </c>
      <c r="AA2" s="26">
        <v>22</v>
      </c>
      <c r="AB2" s="26">
        <v>23</v>
      </c>
      <c r="AC2" s="26">
        <v>24</v>
      </c>
      <c r="AD2" s="26">
        <v>25</v>
      </c>
      <c r="AE2" s="26">
        <v>26</v>
      </c>
      <c r="AF2" s="26">
        <v>27</v>
      </c>
      <c r="AG2" s="26">
        <v>28</v>
      </c>
      <c r="AH2" s="26">
        <v>29</v>
      </c>
      <c r="AI2" s="26">
        <v>30</v>
      </c>
      <c r="AJ2" s="26">
        <v>31</v>
      </c>
      <c r="AK2" s="26">
        <v>32</v>
      </c>
      <c r="AL2" s="26">
        <v>33</v>
      </c>
      <c r="AM2" s="26">
        <v>34</v>
      </c>
      <c r="AN2" s="26">
        <v>35</v>
      </c>
    </row>
    <row r="4" spans="1:41" ht="15">
      <c r="A4" s="408" t="s">
        <v>488</v>
      </c>
      <c r="B4" s="923" t="s">
        <v>601</v>
      </c>
      <c r="C4" s="922" t="s">
        <v>201</v>
      </c>
      <c r="D4" s="926" t="s">
        <v>492</v>
      </c>
      <c r="E4" s="167">
        <f>SUM(F4:AN4)</f>
        <v>1601.8736634570309</v>
      </c>
      <c r="F4" s="409">
        <v>0</v>
      </c>
      <c r="G4" s="409">
        <v>0</v>
      </c>
      <c r="H4" s="409">
        <v>0</v>
      </c>
      <c r="I4" s="409">
        <v>0</v>
      </c>
      <c r="J4" s="409">
        <v>0</v>
      </c>
      <c r="K4" s="409">
        <v>242.54031189453099</v>
      </c>
      <c r="L4" s="409">
        <v>0</v>
      </c>
      <c r="M4" s="409">
        <v>0</v>
      </c>
      <c r="N4" s="409">
        <v>251.7283984375</v>
      </c>
      <c r="O4" s="409">
        <v>0</v>
      </c>
      <c r="P4" s="409">
        <v>0</v>
      </c>
      <c r="Q4" s="409">
        <v>0</v>
      </c>
      <c r="R4" s="409">
        <v>0</v>
      </c>
      <c r="S4" s="409">
        <v>251.7283984375</v>
      </c>
      <c r="T4" s="409">
        <v>0</v>
      </c>
      <c r="U4" s="409">
        <v>0</v>
      </c>
      <c r="V4" s="409">
        <v>0</v>
      </c>
      <c r="W4" s="409">
        <v>0</v>
      </c>
      <c r="X4" s="409">
        <v>251.7283984375</v>
      </c>
      <c r="Y4" s="409">
        <v>0</v>
      </c>
      <c r="Z4" s="409">
        <v>0</v>
      </c>
      <c r="AA4" s="409">
        <v>0</v>
      </c>
      <c r="AB4" s="409">
        <v>0</v>
      </c>
      <c r="AC4" s="409">
        <v>251.7283984375</v>
      </c>
      <c r="AD4" s="409">
        <v>0</v>
      </c>
      <c r="AE4" s="409">
        <v>0</v>
      </c>
      <c r="AF4" s="409">
        <v>0</v>
      </c>
      <c r="AG4" s="409">
        <v>0</v>
      </c>
      <c r="AH4" s="409">
        <v>251.7283984375</v>
      </c>
      <c r="AI4" s="409">
        <v>0</v>
      </c>
      <c r="AJ4" s="409">
        <v>0</v>
      </c>
      <c r="AK4" s="409">
        <v>0</v>
      </c>
      <c r="AL4" s="409">
        <v>0</v>
      </c>
      <c r="AM4" s="409">
        <v>100.691359375</v>
      </c>
      <c r="AN4" s="409">
        <v>0</v>
      </c>
    </row>
    <row r="5" spans="1:41" ht="15">
      <c r="A5" s="408" t="s">
        <v>489</v>
      </c>
      <c r="B5" s="924"/>
      <c r="C5" s="922"/>
      <c r="D5" s="927"/>
      <c r="E5" s="878">
        <f>SUM(F5:AN5)</f>
        <v>1601.8736634570309</v>
      </c>
      <c r="F5" s="59">
        <v>0</v>
      </c>
      <c r="G5" s="59">
        <v>0</v>
      </c>
      <c r="H5" s="59">
        <v>0</v>
      </c>
      <c r="I5" s="59">
        <v>0</v>
      </c>
      <c r="J5" s="59">
        <v>0</v>
      </c>
      <c r="K5" s="59">
        <v>0</v>
      </c>
      <c r="L5" s="59">
        <v>0</v>
      </c>
      <c r="M5" s="59">
        <v>0</v>
      </c>
      <c r="N5" s="59">
        <v>0</v>
      </c>
      <c r="O5" s="59">
        <f>K4</f>
        <v>242.54031189453099</v>
      </c>
      <c r="P5" s="59">
        <v>0</v>
      </c>
      <c r="Q5" s="59">
        <v>0</v>
      </c>
      <c r="R5" s="59"/>
      <c r="S5" s="59">
        <v>0</v>
      </c>
      <c r="T5" s="59">
        <f>N4</f>
        <v>251.7283984375</v>
      </c>
      <c r="U5" s="59">
        <v>0</v>
      </c>
      <c r="V5" s="59">
        <v>0</v>
      </c>
      <c r="W5" s="59"/>
      <c r="X5" s="59">
        <v>0</v>
      </c>
      <c r="Y5" s="59">
        <f>S4</f>
        <v>251.7283984375</v>
      </c>
      <c r="Z5" s="59">
        <v>0</v>
      </c>
      <c r="AA5" s="59">
        <v>0</v>
      </c>
      <c r="AB5" s="59"/>
      <c r="AC5" s="59">
        <v>0</v>
      </c>
      <c r="AD5" s="59">
        <f>X4</f>
        <v>251.7283984375</v>
      </c>
      <c r="AE5" s="59">
        <v>0</v>
      </c>
      <c r="AF5" s="59">
        <v>0</v>
      </c>
      <c r="AG5" s="59"/>
      <c r="AH5" s="59">
        <v>0</v>
      </c>
      <c r="AI5" s="59">
        <f>AC4</f>
        <v>251.7283984375</v>
      </c>
      <c r="AJ5" s="59">
        <v>0</v>
      </c>
      <c r="AK5" s="59">
        <v>0</v>
      </c>
      <c r="AL5" s="59">
        <v>0</v>
      </c>
      <c r="AM5" s="59">
        <v>0</v>
      </c>
      <c r="AN5" s="59">
        <f>AM4+AH4</f>
        <v>352.41975781249999</v>
      </c>
      <c r="AO5" s="69"/>
    </row>
    <row r="6" spans="1:41" ht="15">
      <c r="A6" s="858" t="s">
        <v>689</v>
      </c>
      <c r="B6" s="925"/>
      <c r="C6" s="922"/>
      <c r="D6" s="928"/>
      <c r="E6" s="167">
        <f>SUM(F6:AN6)</f>
        <v>0</v>
      </c>
      <c r="F6" s="59">
        <v>0</v>
      </c>
      <c r="G6" s="59">
        <v>0</v>
      </c>
      <c r="H6" s="59">
        <v>0</v>
      </c>
      <c r="I6" s="59">
        <v>0</v>
      </c>
      <c r="J6" s="59">
        <v>0</v>
      </c>
      <c r="K6" s="59">
        <v>0</v>
      </c>
      <c r="L6" s="59">
        <v>0</v>
      </c>
      <c r="M6" s="59">
        <v>0</v>
      </c>
      <c r="N6" s="59">
        <v>0</v>
      </c>
      <c r="O6" s="59">
        <v>0</v>
      </c>
      <c r="P6" s="59">
        <v>0</v>
      </c>
      <c r="Q6" s="59">
        <v>0</v>
      </c>
      <c r="R6" s="59">
        <v>0</v>
      </c>
      <c r="S6" s="59">
        <v>0</v>
      </c>
      <c r="T6" s="59">
        <v>0</v>
      </c>
      <c r="U6" s="59">
        <v>0</v>
      </c>
      <c r="V6" s="59">
        <v>0</v>
      </c>
      <c r="W6" s="59">
        <v>0</v>
      </c>
      <c r="X6" s="59">
        <v>0</v>
      </c>
      <c r="Y6" s="59">
        <v>0</v>
      </c>
      <c r="Z6" s="59">
        <v>0</v>
      </c>
      <c r="AA6" s="59">
        <v>0</v>
      </c>
      <c r="AB6" s="59">
        <v>0</v>
      </c>
      <c r="AC6" s="59">
        <v>0</v>
      </c>
      <c r="AD6" s="59">
        <v>0</v>
      </c>
      <c r="AE6" s="59">
        <v>0</v>
      </c>
      <c r="AF6" s="59">
        <v>0</v>
      </c>
      <c r="AG6" s="59">
        <v>0</v>
      </c>
      <c r="AH6" s="59">
        <v>0</v>
      </c>
      <c r="AI6" s="59">
        <v>0</v>
      </c>
      <c r="AJ6" s="59">
        <v>0</v>
      </c>
      <c r="AK6" s="59">
        <v>0</v>
      </c>
      <c r="AL6" s="59">
        <v>0</v>
      </c>
      <c r="AM6" s="59">
        <v>0</v>
      </c>
      <c r="AN6" s="59">
        <v>0</v>
      </c>
      <c r="AO6" s="69"/>
    </row>
    <row r="7" spans="1:41">
      <c r="B7" s="23"/>
      <c r="D7" s="410"/>
    </row>
    <row r="8" spans="1:41" ht="15">
      <c r="A8" s="408" t="s">
        <v>488</v>
      </c>
      <c r="B8" s="929" t="s">
        <v>601</v>
      </c>
      <c r="C8" s="929" t="s">
        <v>210</v>
      </c>
      <c r="D8" s="931" t="s">
        <v>152</v>
      </c>
      <c r="E8" s="167">
        <f>SUM(F8:AN8)</f>
        <v>220.1812965</v>
      </c>
      <c r="F8" s="409">
        <v>0</v>
      </c>
      <c r="G8" s="409">
        <v>0</v>
      </c>
      <c r="H8" s="409">
        <v>0</v>
      </c>
      <c r="I8" s="409">
        <v>0</v>
      </c>
      <c r="J8" s="409">
        <v>0</v>
      </c>
      <c r="K8" s="409">
        <v>89.758696499999999</v>
      </c>
      <c r="L8" s="409">
        <v>0</v>
      </c>
      <c r="M8" s="409">
        <v>0</v>
      </c>
      <c r="N8" s="409">
        <v>0</v>
      </c>
      <c r="O8" s="409">
        <v>0</v>
      </c>
      <c r="P8" s="409">
        <v>0</v>
      </c>
      <c r="Q8" s="409">
        <v>0</v>
      </c>
      <c r="R8" s="409">
        <v>0</v>
      </c>
      <c r="S8" s="409">
        <v>0</v>
      </c>
      <c r="T8" s="409">
        <v>0</v>
      </c>
      <c r="U8" s="409">
        <v>0</v>
      </c>
      <c r="V8" s="409">
        <v>0</v>
      </c>
      <c r="W8" s="409">
        <v>0</v>
      </c>
      <c r="X8" s="409">
        <v>93.159000000000006</v>
      </c>
      <c r="Y8" s="409">
        <v>0</v>
      </c>
      <c r="Z8" s="409">
        <v>0</v>
      </c>
      <c r="AA8" s="409">
        <v>0</v>
      </c>
      <c r="AB8" s="409">
        <v>0</v>
      </c>
      <c r="AC8" s="409">
        <v>0</v>
      </c>
      <c r="AD8" s="409">
        <v>0</v>
      </c>
      <c r="AE8" s="409">
        <v>0</v>
      </c>
      <c r="AF8" s="409">
        <v>0</v>
      </c>
      <c r="AG8" s="409">
        <v>0</v>
      </c>
      <c r="AH8" s="409">
        <v>0</v>
      </c>
      <c r="AI8" s="409">
        <v>0</v>
      </c>
      <c r="AJ8" s="409">
        <v>0</v>
      </c>
      <c r="AK8" s="409">
        <v>0</v>
      </c>
      <c r="AL8" s="409">
        <v>0</v>
      </c>
      <c r="AM8" s="409">
        <v>37.263599999999997</v>
      </c>
      <c r="AN8" s="409">
        <v>0</v>
      </c>
    </row>
    <row r="9" spans="1:41" ht="15">
      <c r="A9" s="408" t="s">
        <v>489</v>
      </c>
      <c r="B9" s="930"/>
      <c r="C9" s="930"/>
      <c r="D9" s="931"/>
      <c r="E9" s="167">
        <f>SUM(F9:AN9)</f>
        <v>220.1812965</v>
      </c>
      <c r="F9" s="59">
        <v>0</v>
      </c>
      <c r="G9" s="59">
        <v>0</v>
      </c>
      <c r="H9" s="59">
        <v>0</v>
      </c>
      <c r="I9" s="59">
        <v>0</v>
      </c>
      <c r="J9" s="59">
        <v>0</v>
      </c>
      <c r="K9" s="59">
        <v>0</v>
      </c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  <c r="S9" s="59">
        <v>0</v>
      </c>
      <c r="T9" s="59">
        <v>0</v>
      </c>
      <c r="U9" s="59">
        <v>0</v>
      </c>
      <c r="V9" s="59">
        <v>0</v>
      </c>
      <c r="W9" s="59">
        <v>0</v>
      </c>
      <c r="X9" s="59">
        <v>0</v>
      </c>
      <c r="Y9" s="59">
        <v>0</v>
      </c>
      <c r="Z9" s="59">
        <v>0</v>
      </c>
      <c r="AA9" s="59">
        <v>0</v>
      </c>
      <c r="AB9" s="59">
        <v>0</v>
      </c>
      <c r="AC9" s="59">
        <v>0</v>
      </c>
      <c r="AD9" s="59">
        <v>0</v>
      </c>
      <c r="AE9" s="59">
        <v>0</v>
      </c>
      <c r="AF9" s="59">
        <v>0</v>
      </c>
      <c r="AG9" s="59">
        <v>0</v>
      </c>
      <c r="AH9" s="59">
        <v>0</v>
      </c>
      <c r="AI9" s="59">
        <v>0</v>
      </c>
      <c r="AJ9" s="59">
        <v>0</v>
      </c>
      <c r="AK9" s="59">
        <v>0</v>
      </c>
      <c r="AL9" s="59">
        <v>0</v>
      </c>
      <c r="AM9" s="59">
        <v>0</v>
      </c>
      <c r="AN9" s="59">
        <f>SUM(F8:AN8)</f>
        <v>220.1812965</v>
      </c>
    </row>
    <row r="10" spans="1:41">
      <c r="B10" s="23"/>
      <c r="D10" s="410"/>
    </row>
    <row r="11" spans="1:41" ht="15">
      <c r="A11" s="408" t="s">
        <v>488</v>
      </c>
      <c r="B11" s="929" t="s">
        <v>601</v>
      </c>
      <c r="C11" s="929" t="s">
        <v>270</v>
      </c>
      <c r="D11" s="920" t="s">
        <v>268</v>
      </c>
      <c r="E11" s="411">
        <f>SUM(F11:AN11)</f>
        <v>1060.7773904999999</v>
      </c>
      <c r="F11" s="412">
        <v>151.94539524999999</v>
      </c>
      <c r="G11" s="412">
        <v>0</v>
      </c>
      <c r="H11" s="412">
        <v>0</v>
      </c>
      <c r="I11" s="412">
        <v>0</v>
      </c>
      <c r="J11" s="412">
        <v>0</v>
      </c>
      <c r="K11" s="412">
        <v>151.94539524999999</v>
      </c>
      <c r="L11" s="412">
        <v>0</v>
      </c>
      <c r="M11" s="412">
        <v>0</v>
      </c>
      <c r="N11" s="412">
        <v>0</v>
      </c>
      <c r="O11" s="412">
        <v>0</v>
      </c>
      <c r="P11" s="412">
        <v>0</v>
      </c>
      <c r="Q11" s="412">
        <v>0</v>
      </c>
      <c r="R11" s="412">
        <v>0</v>
      </c>
      <c r="S11" s="412">
        <v>315.40300000000002</v>
      </c>
      <c r="T11" s="412">
        <v>0</v>
      </c>
      <c r="U11" s="412">
        <v>0</v>
      </c>
      <c r="V11" s="412">
        <v>0</v>
      </c>
      <c r="W11" s="412">
        <v>0</v>
      </c>
      <c r="X11" s="412">
        <v>0</v>
      </c>
      <c r="Y11" s="412">
        <v>0</v>
      </c>
      <c r="Z11" s="412">
        <v>0</v>
      </c>
      <c r="AA11" s="412">
        <v>0</v>
      </c>
      <c r="AB11" s="412">
        <v>0</v>
      </c>
      <c r="AC11" s="412">
        <v>315.40300000000002</v>
      </c>
      <c r="AD11" s="412">
        <v>0</v>
      </c>
      <c r="AE11" s="412">
        <v>0</v>
      </c>
      <c r="AF11" s="412">
        <v>0</v>
      </c>
      <c r="AG11" s="412">
        <v>0</v>
      </c>
      <c r="AH11" s="412">
        <v>0</v>
      </c>
      <c r="AI11" s="412">
        <v>0</v>
      </c>
      <c r="AJ11" s="412">
        <v>0</v>
      </c>
      <c r="AK11" s="412">
        <v>0</v>
      </c>
      <c r="AL11" s="412">
        <v>0</v>
      </c>
      <c r="AM11" s="412">
        <v>126.0806</v>
      </c>
      <c r="AN11" s="412">
        <v>0</v>
      </c>
    </row>
    <row r="12" spans="1:41" ht="15">
      <c r="A12" s="408" t="s">
        <v>489</v>
      </c>
      <c r="B12" s="930"/>
      <c r="C12" s="930"/>
      <c r="D12" s="920"/>
      <c r="E12" s="167">
        <f>SUM(F12:AN12)</f>
        <v>1060.7773904999999</v>
      </c>
      <c r="F12" s="59">
        <f>F11</f>
        <v>151.94539524999999</v>
      </c>
      <c r="G12" s="59">
        <v>0</v>
      </c>
      <c r="H12" s="59">
        <v>0</v>
      </c>
      <c r="I12" s="59">
        <v>0</v>
      </c>
      <c r="J12" s="59">
        <v>0</v>
      </c>
      <c r="K12" s="59">
        <f>0</f>
        <v>0</v>
      </c>
      <c r="L12" s="59">
        <f>K11</f>
        <v>151.94539524999999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  <c r="S12" s="59">
        <v>0</v>
      </c>
      <c r="T12" s="59">
        <f t="shared" ref="T12:AL12" si="0">T11</f>
        <v>0</v>
      </c>
      <c r="U12" s="59">
        <f t="shared" si="0"/>
        <v>0</v>
      </c>
      <c r="V12" s="59">
        <f>S11</f>
        <v>315.40300000000002</v>
      </c>
      <c r="W12" s="59">
        <v>0</v>
      </c>
      <c r="X12" s="59">
        <f t="shared" si="0"/>
        <v>0</v>
      </c>
      <c r="Y12" s="59">
        <f t="shared" si="0"/>
        <v>0</v>
      </c>
      <c r="Z12" s="59">
        <f t="shared" si="0"/>
        <v>0</v>
      </c>
      <c r="AA12" s="59">
        <f t="shared" si="0"/>
        <v>0</v>
      </c>
      <c r="AB12" s="59">
        <f t="shared" si="0"/>
        <v>0</v>
      </c>
      <c r="AC12" s="59">
        <v>0</v>
      </c>
      <c r="AD12" s="59">
        <f t="shared" si="0"/>
        <v>0</v>
      </c>
      <c r="AE12" s="59">
        <f t="shared" si="0"/>
        <v>0</v>
      </c>
      <c r="AF12" s="59">
        <f>AC11</f>
        <v>315.40300000000002</v>
      </c>
      <c r="AG12" s="59">
        <f t="shared" si="0"/>
        <v>0</v>
      </c>
      <c r="AH12" s="59">
        <f t="shared" si="0"/>
        <v>0</v>
      </c>
      <c r="AI12" s="59">
        <f t="shared" si="0"/>
        <v>0</v>
      </c>
      <c r="AJ12" s="59">
        <f t="shared" si="0"/>
        <v>0</v>
      </c>
      <c r="AK12" s="59">
        <f t="shared" si="0"/>
        <v>0</v>
      </c>
      <c r="AL12" s="59">
        <f t="shared" si="0"/>
        <v>0</v>
      </c>
      <c r="AM12" s="59">
        <v>0</v>
      </c>
      <c r="AN12" s="59">
        <f>AM11</f>
        <v>126.0806</v>
      </c>
      <c r="AO12" s="69"/>
    </row>
    <row r="13" spans="1:41">
      <c r="B13" s="23"/>
      <c r="E13" s="440"/>
    </row>
    <row r="14" spans="1:41" ht="15" customHeight="1">
      <c r="A14" s="408" t="s">
        <v>488</v>
      </c>
      <c r="B14" s="929" t="s">
        <v>601</v>
      </c>
      <c r="C14" s="929" t="s">
        <v>209</v>
      </c>
      <c r="D14" s="920" t="s">
        <v>151</v>
      </c>
      <c r="E14" s="411">
        <f t="shared" ref="E14:E31" si="1">SUM(F14:AN14)</f>
        <v>3607.4426959999996</v>
      </c>
      <c r="F14" s="412">
        <v>0</v>
      </c>
      <c r="G14" s="412">
        <v>0</v>
      </c>
      <c r="H14" s="412">
        <v>0</v>
      </c>
      <c r="I14" s="412">
        <v>0</v>
      </c>
      <c r="J14" s="412">
        <v>0</v>
      </c>
      <c r="K14" s="412">
        <v>546.204296</v>
      </c>
      <c r="L14" s="412">
        <v>0</v>
      </c>
      <c r="M14" s="412">
        <v>0</v>
      </c>
      <c r="N14" s="412">
        <v>566.89599999999996</v>
      </c>
      <c r="O14" s="412">
        <v>0</v>
      </c>
      <c r="P14" s="412">
        <v>0</v>
      </c>
      <c r="Q14" s="412">
        <v>0</v>
      </c>
      <c r="R14" s="412">
        <v>0</v>
      </c>
      <c r="S14" s="412">
        <v>566.89599999999996</v>
      </c>
      <c r="T14" s="412">
        <v>0</v>
      </c>
      <c r="U14" s="412">
        <v>0</v>
      </c>
      <c r="V14" s="412">
        <v>0</v>
      </c>
      <c r="W14" s="412">
        <v>0</v>
      </c>
      <c r="X14" s="412">
        <v>566.89599999999996</v>
      </c>
      <c r="Y14" s="412">
        <v>0</v>
      </c>
      <c r="Z14" s="412">
        <v>0</v>
      </c>
      <c r="AA14" s="412">
        <v>0</v>
      </c>
      <c r="AB14" s="412">
        <v>0</v>
      </c>
      <c r="AC14" s="412">
        <v>566.89599999999996</v>
      </c>
      <c r="AD14" s="412">
        <v>0</v>
      </c>
      <c r="AE14" s="412">
        <v>0</v>
      </c>
      <c r="AF14" s="412">
        <v>0</v>
      </c>
      <c r="AG14" s="412">
        <v>0</v>
      </c>
      <c r="AH14" s="412">
        <v>566.89599999999996</v>
      </c>
      <c r="AI14" s="412">
        <v>0</v>
      </c>
      <c r="AJ14" s="412">
        <v>0</v>
      </c>
      <c r="AK14" s="412">
        <v>0</v>
      </c>
      <c r="AL14" s="412">
        <v>0</v>
      </c>
      <c r="AM14" s="412">
        <v>226.75839999999999</v>
      </c>
      <c r="AN14" s="412">
        <v>0</v>
      </c>
    </row>
    <row r="15" spans="1:41" ht="15" customHeight="1">
      <c r="A15" s="408" t="s">
        <v>489</v>
      </c>
      <c r="B15" s="930"/>
      <c r="C15" s="930"/>
      <c r="D15" s="920"/>
      <c r="E15" s="167">
        <f t="shared" si="1"/>
        <v>3050.8925480000003</v>
      </c>
      <c r="F15" s="59">
        <f t="shared" ref="F15:J15" si="2">F14/2</f>
        <v>0</v>
      </c>
      <c r="G15" s="59">
        <f t="shared" si="2"/>
        <v>0</v>
      </c>
      <c r="H15" s="59">
        <f t="shared" si="2"/>
        <v>0</v>
      </c>
      <c r="I15" s="59">
        <f t="shared" si="2"/>
        <v>0</v>
      </c>
      <c r="J15" s="59">
        <f t="shared" si="2"/>
        <v>0</v>
      </c>
      <c r="K15" s="59">
        <f>K14/2</f>
        <v>273.102148</v>
      </c>
      <c r="L15" s="59">
        <f t="shared" ref="L15:AN15" si="3">L14/2</f>
        <v>0</v>
      </c>
      <c r="M15" s="59">
        <f t="shared" si="3"/>
        <v>0</v>
      </c>
      <c r="N15" s="59">
        <v>0</v>
      </c>
      <c r="O15" s="59">
        <f t="shared" si="3"/>
        <v>0</v>
      </c>
      <c r="P15" s="59">
        <f>N14/2</f>
        <v>283.44799999999998</v>
      </c>
      <c r="Q15" s="59">
        <f t="shared" si="3"/>
        <v>0</v>
      </c>
      <c r="R15" s="59">
        <f t="shared" si="3"/>
        <v>0</v>
      </c>
      <c r="S15" s="59">
        <v>0</v>
      </c>
      <c r="T15" s="59">
        <f t="shared" si="3"/>
        <v>0</v>
      </c>
      <c r="U15" s="59">
        <f>S14</f>
        <v>566.89599999999996</v>
      </c>
      <c r="V15" s="59">
        <f t="shared" si="3"/>
        <v>0</v>
      </c>
      <c r="W15" s="59">
        <f t="shared" si="3"/>
        <v>0</v>
      </c>
      <c r="X15" s="59">
        <v>0</v>
      </c>
      <c r="Y15" s="59">
        <f t="shared" si="3"/>
        <v>0</v>
      </c>
      <c r="Z15" s="59">
        <f>X14</f>
        <v>566.89599999999996</v>
      </c>
      <c r="AA15" s="59">
        <f t="shared" si="3"/>
        <v>0</v>
      </c>
      <c r="AB15" s="59">
        <f t="shared" si="3"/>
        <v>0</v>
      </c>
      <c r="AC15" s="59">
        <v>0</v>
      </c>
      <c r="AD15" s="59">
        <f t="shared" si="3"/>
        <v>0</v>
      </c>
      <c r="AE15" s="59">
        <f>AC14</f>
        <v>566.89599999999996</v>
      </c>
      <c r="AF15" s="59">
        <f t="shared" si="3"/>
        <v>0</v>
      </c>
      <c r="AG15" s="59">
        <f t="shared" si="3"/>
        <v>0</v>
      </c>
      <c r="AH15" s="59">
        <v>0</v>
      </c>
      <c r="AI15" s="59">
        <f t="shared" si="3"/>
        <v>0</v>
      </c>
      <c r="AJ15" s="59">
        <f>AH14</f>
        <v>566.89599999999996</v>
      </c>
      <c r="AK15" s="59">
        <f t="shared" si="3"/>
        <v>0</v>
      </c>
      <c r="AL15" s="59">
        <f t="shared" si="3"/>
        <v>0</v>
      </c>
      <c r="AM15" s="59">
        <f>AM14</f>
        <v>226.75839999999999</v>
      </c>
      <c r="AN15" s="59">
        <f t="shared" si="3"/>
        <v>0</v>
      </c>
    </row>
    <row r="16" spans="1:41" ht="15" customHeight="1">
      <c r="A16" s="404"/>
      <c r="B16" s="597"/>
      <c r="C16" s="597"/>
      <c r="D16" s="487"/>
      <c r="E16" s="440"/>
    </row>
    <row r="17" spans="1:40" ht="15" customHeight="1">
      <c r="A17" s="408" t="s">
        <v>488</v>
      </c>
      <c r="B17" s="929" t="s">
        <v>601</v>
      </c>
      <c r="C17" s="929" t="s">
        <v>234</v>
      </c>
      <c r="D17" s="920" t="s">
        <v>269</v>
      </c>
      <c r="E17" s="411">
        <f t="shared" ref="E17:E18" si="4">SUM(F17:AN17)</f>
        <v>5258.5782982226574</v>
      </c>
      <c r="F17" s="412">
        <v>0</v>
      </c>
      <c r="G17" s="412">
        <v>1506.3594982226571</v>
      </c>
      <c r="H17" s="412">
        <v>0</v>
      </c>
      <c r="I17" s="412">
        <v>0</v>
      </c>
      <c r="J17" s="412">
        <v>0</v>
      </c>
      <c r="K17" s="412">
        <v>0</v>
      </c>
      <c r="L17" s="412">
        <v>0</v>
      </c>
      <c r="M17" s="412">
        <v>0</v>
      </c>
      <c r="N17" s="412">
        <v>0</v>
      </c>
      <c r="O17" s="412">
        <v>0</v>
      </c>
      <c r="P17" s="412">
        <v>0</v>
      </c>
      <c r="Q17" s="412">
        <v>0</v>
      </c>
      <c r="R17" s="412">
        <v>0</v>
      </c>
      <c r="S17" s="412">
        <v>1563.4245000000001</v>
      </c>
      <c r="T17" s="412">
        <v>0</v>
      </c>
      <c r="U17" s="412">
        <v>0</v>
      </c>
      <c r="V17" s="412">
        <v>0</v>
      </c>
      <c r="W17" s="412">
        <v>0</v>
      </c>
      <c r="X17" s="412">
        <v>0</v>
      </c>
      <c r="Y17" s="412">
        <v>0</v>
      </c>
      <c r="Z17" s="412">
        <v>0</v>
      </c>
      <c r="AA17" s="412">
        <v>0</v>
      </c>
      <c r="AB17" s="412">
        <v>0</v>
      </c>
      <c r="AC17" s="412">
        <v>1563.4245000000001</v>
      </c>
      <c r="AD17" s="412">
        <v>0</v>
      </c>
      <c r="AE17" s="412">
        <v>0</v>
      </c>
      <c r="AF17" s="412">
        <v>0</v>
      </c>
      <c r="AG17" s="412">
        <v>0</v>
      </c>
      <c r="AH17" s="412">
        <v>0</v>
      </c>
      <c r="AI17" s="412">
        <v>0</v>
      </c>
      <c r="AJ17" s="412">
        <v>0</v>
      </c>
      <c r="AK17" s="412">
        <v>0</v>
      </c>
      <c r="AL17" s="412">
        <v>0</v>
      </c>
      <c r="AM17" s="412">
        <v>625.36980000000005</v>
      </c>
      <c r="AN17" s="412">
        <v>0</v>
      </c>
    </row>
    <row r="18" spans="1:40" ht="15" customHeight="1">
      <c r="A18" s="408" t="s">
        <v>489</v>
      </c>
      <c r="B18" s="930"/>
      <c r="C18" s="930"/>
      <c r="D18" s="920"/>
      <c r="E18" s="167">
        <f t="shared" si="4"/>
        <v>5258.5782982226574</v>
      </c>
      <c r="F18" s="59">
        <v>0</v>
      </c>
      <c r="G18" s="59">
        <v>0</v>
      </c>
      <c r="H18" s="59">
        <f>G17</f>
        <v>1506.3594982226571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  <c r="S18" s="59">
        <v>1563.4245000000001</v>
      </c>
      <c r="T18" s="59">
        <v>0</v>
      </c>
      <c r="U18" s="59">
        <v>0</v>
      </c>
      <c r="V18" s="59">
        <v>0</v>
      </c>
      <c r="W18" s="59">
        <v>0</v>
      </c>
      <c r="X18" s="59">
        <v>0</v>
      </c>
      <c r="Y18" s="59">
        <v>0</v>
      </c>
      <c r="Z18" s="59">
        <v>0</v>
      </c>
      <c r="AA18" s="59">
        <v>0</v>
      </c>
      <c r="AB18" s="59">
        <v>0</v>
      </c>
      <c r="AC18" s="59">
        <v>1563.4245000000001</v>
      </c>
      <c r="AD18" s="59">
        <v>0</v>
      </c>
      <c r="AE18" s="59">
        <v>0</v>
      </c>
      <c r="AF18" s="59">
        <v>0</v>
      </c>
      <c r="AG18" s="59">
        <v>0</v>
      </c>
      <c r="AH18" s="59">
        <v>0</v>
      </c>
      <c r="AI18" s="59">
        <v>0</v>
      </c>
      <c r="AJ18" s="59">
        <v>0</v>
      </c>
      <c r="AK18" s="59">
        <v>0</v>
      </c>
      <c r="AL18" s="59">
        <v>0</v>
      </c>
      <c r="AM18" s="59">
        <v>625.36980000000005</v>
      </c>
      <c r="AN18" s="59">
        <v>0</v>
      </c>
    </row>
    <row r="19" spans="1:40">
      <c r="B19" s="23"/>
      <c r="E19" s="440"/>
    </row>
    <row r="20" spans="1:40" s="420" customFormat="1" ht="15">
      <c r="A20" s="419" t="s">
        <v>490</v>
      </c>
      <c r="B20" s="598"/>
      <c r="C20" s="598"/>
    </row>
    <row r="21" spans="1:40" ht="15">
      <c r="A21" s="408" t="s">
        <v>488</v>
      </c>
      <c r="B21" s="922" t="s">
        <v>601</v>
      </c>
      <c r="C21" s="922" t="s">
        <v>136</v>
      </c>
      <c r="D21" s="921" t="s">
        <v>283</v>
      </c>
      <c r="E21" s="411">
        <f t="shared" si="1"/>
        <v>2415.4458225121998</v>
      </c>
      <c r="F21" s="412">
        <v>0</v>
      </c>
      <c r="G21" s="412">
        <v>0</v>
      </c>
      <c r="H21" s="412">
        <v>0</v>
      </c>
      <c r="I21" s="412">
        <v>0</v>
      </c>
      <c r="J21" s="412">
        <v>0</v>
      </c>
      <c r="K21" s="412">
        <v>2415.4458225121998</v>
      </c>
      <c r="L21" s="412">
        <v>0</v>
      </c>
      <c r="M21" s="412">
        <v>0</v>
      </c>
      <c r="N21" s="412">
        <v>0</v>
      </c>
      <c r="O21" s="412">
        <v>0</v>
      </c>
      <c r="P21" s="412">
        <v>0</v>
      </c>
      <c r="Q21" s="412">
        <v>0</v>
      </c>
      <c r="R21" s="412">
        <v>0</v>
      </c>
      <c r="S21" s="412">
        <v>0</v>
      </c>
      <c r="T21" s="412">
        <v>0</v>
      </c>
      <c r="U21" s="412">
        <v>0</v>
      </c>
      <c r="V21" s="412">
        <v>0</v>
      </c>
      <c r="W21" s="412">
        <v>0</v>
      </c>
      <c r="X21" s="412">
        <v>0</v>
      </c>
      <c r="Y21" s="412">
        <v>0</v>
      </c>
      <c r="Z21" s="412">
        <v>0</v>
      </c>
      <c r="AA21" s="412">
        <v>0</v>
      </c>
      <c r="AB21" s="412">
        <v>0</v>
      </c>
      <c r="AC21" s="412">
        <v>0</v>
      </c>
      <c r="AD21" s="412">
        <v>0</v>
      </c>
      <c r="AE21" s="412">
        <v>0</v>
      </c>
      <c r="AF21" s="412">
        <v>0</v>
      </c>
      <c r="AG21" s="412">
        <v>0</v>
      </c>
      <c r="AH21" s="412">
        <v>0</v>
      </c>
      <c r="AI21" s="412">
        <v>0</v>
      </c>
      <c r="AJ21" s="412">
        <v>0</v>
      </c>
      <c r="AK21" s="412">
        <v>0</v>
      </c>
      <c r="AL21" s="412">
        <v>0</v>
      </c>
      <c r="AM21" s="412">
        <v>0</v>
      </c>
      <c r="AN21" s="412">
        <v>0</v>
      </c>
    </row>
    <row r="22" spans="1:40" ht="15">
      <c r="A22" s="408" t="s">
        <v>489</v>
      </c>
      <c r="B22" s="922"/>
      <c r="C22" s="922"/>
      <c r="D22" s="921"/>
      <c r="E22" s="411">
        <f t="shared" si="1"/>
        <v>2415.4458225121998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f>K21</f>
        <v>2415.4458225121998</v>
      </c>
      <c r="P22" s="59">
        <v>0</v>
      </c>
      <c r="Q22" s="59">
        <v>0</v>
      </c>
      <c r="R22" s="59">
        <v>0</v>
      </c>
      <c r="S22" s="59">
        <v>0</v>
      </c>
      <c r="T22" s="59">
        <v>0</v>
      </c>
      <c r="U22" s="59">
        <v>0</v>
      </c>
      <c r="V22" s="59">
        <v>0</v>
      </c>
      <c r="W22" s="59">
        <v>0</v>
      </c>
      <c r="X22" s="59">
        <v>0</v>
      </c>
      <c r="Y22" s="59">
        <v>0</v>
      </c>
      <c r="Z22" s="59">
        <v>0</v>
      </c>
      <c r="AA22" s="59">
        <v>0</v>
      </c>
      <c r="AB22" s="59">
        <v>0</v>
      </c>
      <c r="AC22" s="59">
        <v>0</v>
      </c>
      <c r="AD22" s="59">
        <v>0</v>
      </c>
      <c r="AE22" s="59">
        <v>0</v>
      </c>
      <c r="AF22" s="59">
        <v>0</v>
      </c>
      <c r="AG22" s="59">
        <v>0</v>
      </c>
      <c r="AH22" s="59">
        <v>0</v>
      </c>
      <c r="AI22" s="59">
        <v>0</v>
      </c>
      <c r="AJ22" s="59">
        <v>0</v>
      </c>
      <c r="AK22" s="59">
        <v>0</v>
      </c>
      <c r="AL22" s="59">
        <v>0</v>
      </c>
      <c r="AM22" s="59">
        <v>0</v>
      </c>
      <c r="AN22" s="59">
        <v>0</v>
      </c>
    </row>
    <row r="23" spans="1:40" ht="15">
      <c r="A23" s="408" t="s">
        <v>611</v>
      </c>
      <c r="B23" s="922"/>
      <c r="C23" s="922"/>
      <c r="D23" s="921"/>
      <c r="E23" s="411">
        <f t="shared" ref="E23" si="5">SUM(F23:AN23)</f>
        <v>2415.4458225121998</v>
      </c>
      <c r="F23" s="605">
        <v>0</v>
      </c>
      <c r="G23" s="605">
        <v>0</v>
      </c>
      <c r="H23" s="605">
        <v>0</v>
      </c>
      <c r="I23" s="605">
        <v>0</v>
      </c>
      <c r="J23" s="605">
        <v>0</v>
      </c>
      <c r="K23" s="605">
        <v>0</v>
      </c>
      <c r="L23" s="605">
        <v>0</v>
      </c>
      <c r="M23" s="605">
        <v>0</v>
      </c>
      <c r="N23" s="605">
        <v>0</v>
      </c>
      <c r="O23" s="605">
        <f>K22</f>
        <v>0</v>
      </c>
      <c r="P23" s="605">
        <v>0</v>
      </c>
      <c r="Q23" s="605">
        <v>0</v>
      </c>
      <c r="R23" s="605">
        <v>0</v>
      </c>
      <c r="S23" s="605">
        <v>0</v>
      </c>
      <c r="T23" s="605">
        <f>O22</f>
        <v>2415.4458225121998</v>
      </c>
      <c r="U23" s="605">
        <v>0</v>
      </c>
      <c r="V23" s="605">
        <v>0</v>
      </c>
      <c r="W23" s="605">
        <v>0</v>
      </c>
      <c r="X23" s="605">
        <v>0</v>
      </c>
      <c r="Y23" s="605">
        <v>0</v>
      </c>
      <c r="Z23" s="605">
        <v>0</v>
      </c>
      <c r="AA23" s="605">
        <v>0</v>
      </c>
      <c r="AB23" s="605">
        <v>0</v>
      </c>
      <c r="AC23" s="605">
        <v>0</v>
      </c>
      <c r="AD23" s="605">
        <v>0</v>
      </c>
      <c r="AE23" s="605">
        <v>0</v>
      </c>
      <c r="AF23" s="605">
        <v>0</v>
      </c>
      <c r="AG23" s="605">
        <v>0</v>
      </c>
      <c r="AH23" s="605">
        <v>0</v>
      </c>
      <c r="AI23" s="605">
        <v>0</v>
      </c>
      <c r="AJ23" s="605">
        <v>0</v>
      </c>
      <c r="AK23" s="605">
        <v>0</v>
      </c>
      <c r="AL23" s="605">
        <v>0</v>
      </c>
      <c r="AM23" s="605">
        <v>0</v>
      </c>
      <c r="AN23" s="605">
        <v>0</v>
      </c>
    </row>
    <row r="24" spans="1:40" ht="15">
      <c r="A24" s="404"/>
      <c r="B24" s="597"/>
      <c r="C24" s="597"/>
      <c r="D24" s="404"/>
      <c r="E24" s="417"/>
      <c r="F24" s="418"/>
      <c r="G24" s="418"/>
      <c r="H24" s="418"/>
      <c r="I24" s="418"/>
      <c r="J24" s="418"/>
      <c r="K24" s="418"/>
      <c r="L24" s="418"/>
      <c r="M24" s="418"/>
      <c r="N24" s="418"/>
      <c r="O24" s="418"/>
      <c r="P24" s="418"/>
      <c r="Q24" s="418"/>
      <c r="R24" s="418"/>
      <c r="S24" s="418"/>
      <c r="T24" s="418"/>
      <c r="U24" s="418"/>
      <c r="V24" s="418"/>
      <c r="W24" s="418"/>
      <c r="X24" s="418"/>
      <c r="Y24" s="418"/>
      <c r="Z24" s="418"/>
      <c r="AA24" s="418"/>
      <c r="AB24" s="418"/>
      <c r="AC24" s="418"/>
      <c r="AD24" s="418"/>
      <c r="AE24" s="418"/>
      <c r="AF24" s="418"/>
      <c r="AG24" s="418"/>
      <c r="AH24" s="418"/>
      <c r="AI24" s="418"/>
      <c r="AJ24" s="418"/>
      <c r="AK24" s="418"/>
      <c r="AL24" s="418"/>
      <c r="AM24" s="418"/>
      <c r="AN24" s="418"/>
    </row>
    <row r="25" spans="1:40" ht="15">
      <c r="A25" s="408" t="s">
        <v>488</v>
      </c>
      <c r="B25" s="922" t="s">
        <v>601</v>
      </c>
      <c r="C25" s="922" t="s">
        <v>208</v>
      </c>
      <c r="D25" s="921" t="s">
        <v>150</v>
      </c>
      <c r="E25" s="773">
        <f t="shared" si="1"/>
        <v>6998.5219319978005</v>
      </c>
      <c r="F25" s="412">
        <v>783.15388032617</v>
      </c>
      <c r="G25" s="412">
        <v>674.72005167163002</v>
      </c>
      <c r="H25" s="412">
        <v>0</v>
      </c>
      <c r="I25" s="412">
        <v>0</v>
      </c>
      <c r="J25" s="412">
        <v>0</v>
      </c>
      <c r="K25" s="412">
        <v>547</v>
      </c>
      <c r="L25" s="412">
        <v>0</v>
      </c>
      <c r="M25" s="412">
        <v>0</v>
      </c>
      <c r="N25" s="412">
        <v>0</v>
      </c>
      <c r="O25" s="412">
        <v>0</v>
      </c>
      <c r="P25" s="412">
        <v>0</v>
      </c>
      <c r="Q25" s="412">
        <v>0</v>
      </c>
      <c r="R25" s="412">
        <v>0</v>
      </c>
      <c r="S25" s="412">
        <v>2080.8240000000001</v>
      </c>
      <c r="T25" s="412">
        <v>0</v>
      </c>
      <c r="U25" s="412">
        <v>0</v>
      </c>
      <c r="V25" s="412">
        <v>0</v>
      </c>
      <c r="W25" s="412">
        <v>0</v>
      </c>
      <c r="X25" s="412">
        <v>0</v>
      </c>
      <c r="Y25" s="412">
        <v>0</v>
      </c>
      <c r="Z25" s="412">
        <v>0</v>
      </c>
      <c r="AA25" s="412">
        <v>0</v>
      </c>
      <c r="AB25" s="412">
        <v>0</v>
      </c>
      <c r="AC25" s="412">
        <v>2080.8240000000001</v>
      </c>
      <c r="AD25" s="412">
        <v>0</v>
      </c>
      <c r="AE25" s="412">
        <v>0</v>
      </c>
      <c r="AF25" s="412">
        <v>0</v>
      </c>
      <c r="AG25" s="412">
        <v>0</v>
      </c>
      <c r="AH25" s="412">
        <v>0</v>
      </c>
      <c r="AI25" s="412">
        <v>0</v>
      </c>
      <c r="AJ25" s="412">
        <v>0</v>
      </c>
      <c r="AK25" s="412">
        <v>0</v>
      </c>
      <c r="AL25" s="412">
        <v>0</v>
      </c>
      <c r="AM25" s="412">
        <v>832</v>
      </c>
      <c r="AN25" s="412">
        <v>0</v>
      </c>
    </row>
    <row r="26" spans="1:40" ht="15">
      <c r="A26" s="408" t="s">
        <v>489</v>
      </c>
      <c r="B26" s="922"/>
      <c r="C26" s="922"/>
      <c r="D26" s="921"/>
      <c r="E26" s="773">
        <f t="shared" si="1"/>
        <v>6998.5219319978005</v>
      </c>
      <c r="F26" s="59">
        <f>F25</f>
        <v>783.15388032617</v>
      </c>
      <c r="G26" s="59">
        <f t="shared" ref="G26:AM27" si="6">G25</f>
        <v>674.72005167163002</v>
      </c>
      <c r="H26" s="59">
        <f t="shared" si="6"/>
        <v>0</v>
      </c>
      <c r="I26" s="59">
        <f t="shared" si="6"/>
        <v>0</v>
      </c>
      <c r="J26" s="59">
        <f t="shared" si="6"/>
        <v>0</v>
      </c>
      <c r="K26" s="59">
        <v>0</v>
      </c>
      <c r="L26" s="59">
        <f t="shared" si="6"/>
        <v>0</v>
      </c>
      <c r="M26" s="59">
        <v>0</v>
      </c>
      <c r="N26" s="59">
        <v>0</v>
      </c>
      <c r="O26" s="59">
        <f>K25</f>
        <v>547</v>
      </c>
      <c r="P26" s="59">
        <v>0</v>
      </c>
      <c r="Q26" s="59">
        <v>0</v>
      </c>
      <c r="R26" s="59">
        <f t="shared" si="6"/>
        <v>0</v>
      </c>
      <c r="S26" s="59">
        <f t="shared" si="6"/>
        <v>2080.8240000000001</v>
      </c>
      <c r="T26" s="59">
        <f t="shared" si="6"/>
        <v>0</v>
      </c>
      <c r="U26" s="59">
        <f t="shared" si="6"/>
        <v>0</v>
      </c>
      <c r="V26" s="59">
        <f t="shared" si="6"/>
        <v>0</v>
      </c>
      <c r="W26" s="59">
        <f t="shared" si="6"/>
        <v>0</v>
      </c>
      <c r="X26" s="59">
        <f t="shared" si="6"/>
        <v>0</v>
      </c>
      <c r="Y26" s="59">
        <f t="shared" si="6"/>
        <v>0</v>
      </c>
      <c r="Z26" s="59">
        <f t="shared" si="6"/>
        <v>0</v>
      </c>
      <c r="AA26" s="59">
        <f t="shared" si="6"/>
        <v>0</v>
      </c>
      <c r="AB26" s="59">
        <f t="shared" si="6"/>
        <v>0</v>
      </c>
      <c r="AC26" s="59">
        <f t="shared" si="6"/>
        <v>2080.8240000000001</v>
      </c>
      <c r="AD26" s="59">
        <f t="shared" si="6"/>
        <v>0</v>
      </c>
      <c r="AE26" s="59">
        <f t="shared" si="6"/>
        <v>0</v>
      </c>
      <c r="AF26" s="59">
        <f t="shared" si="6"/>
        <v>0</v>
      </c>
      <c r="AG26" s="59">
        <f t="shared" si="6"/>
        <v>0</v>
      </c>
      <c r="AH26" s="59">
        <f t="shared" si="6"/>
        <v>0</v>
      </c>
      <c r="AI26" s="59">
        <f t="shared" si="6"/>
        <v>0</v>
      </c>
      <c r="AJ26" s="59">
        <f t="shared" si="6"/>
        <v>0</v>
      </c>
      <c r="AK26" s="59">
        <f t="shared" si="6"/>
        <v>0</v>
      </c>
      <c r="AL26" s="59">
        <f t="shared" si="6"/>
        <v>0</v>
      </c>
      <c r="AM26" s="59">
        <f t="shared" si="6"/>
        <v>832</v>
      </c>
      <c r="AN26" s="59">
        <v>0</v>
      </c>
    </row>
    <row r="27" spans="1:40" ht="15">
      <c r="A27" s="408" t="s">
        <v>611</v>
      </c>
      <c r="B27" s="922"/>
      <c r="C27" s="922"/>
      <c r="D27" s="921"/>
      <c r="E27" s="773">
        <f t="shared" si="1"/>
        <v>6451.5219319978005</v>
      </c>
      <c r="F27" s="605">
        <f>F26</f>
        <v>783.15388032617</v>
      </c>
      <c r="G27" s="605">
        <f>G26</f>
        <v>674.72005167163002</v>
      </c>
      <c r="H27" s="605">
        <f t="shared" si="6"/>
        <v>0</v>
      </c>
      <c r="I27" s="605">
        <f t="shared" si="6"/>
        <v>0</v>
      </c>
      <c r="J27" s="605">
        <f t="shared" si="6"/>
        <v>0</v>
      </c>
      <c r="K27" s="605">
        <f t="shared" si="6"/>
        <v>0</v>
      </c>
      <c r="L27" s="605">
        <f t="shared" si="6"/>
        <v>0</v>
      </c>
      <c r="M27" s="605">
        <f t="shared" si="6"/>
        <v>0</v>
      </c>
      <c r="N27" s="605">
        <f t="shared" si="6"/>
        <v>0</v>
      </c>
      <c r="O27" s="605">
        <v>0</v>
      </c>
      <c r="P27" s="605">
        <v>0</v>
      </c>
      <c r="Q27" s="605">
        <v>0</v>
      </c>
      <c r="R27" s="605">
        <v>0</v>
      </c>
      <c r="S27" s="605">
        <f>S26-T27</f>
        <v>1533.8240000000001</v>
      </c>
      <c r="T27" s="605">
        <f>O26</f>
        <v>547</v>
      </c>
      <c r="U27" s="605">
        <f>U26</f>
        <v>0</v>
      </c>
      <c r="V27" s="605">
        <f t="shared" si="6"/>
        <v>0</v>
      </c>
      <c r="W27" s="605">
        <f t="shared" si="6"/>
        <v>0</v>
      </c>
      <c r="X27" s="605">
        <f t="shared" si="6"/>
        <v>0</v>
      </c>
      <c r="Y27" s="605">
        <f t="shared" si="6"/>
        <v>0</v>
      </c>
      <c r="Z27" s="605">
        <f t="shared" si="6"/>
        <v>0</v>
      </c>
      <c r="AA27" s="605">
        <f t="shared" si="6"/>
        <v>0</v>
      </c>
      <c r="AB27" s="605">
        <f t="shared" si="6"/>
        <v>0</v>
      </c>
      <c r="AC27" s="605">
        <f t="shared" si="6"/>
        <v>2080.8240000000001</v>
      </c>
      <c r="AD27" s="605">
        <f t="shared" si="6"/>
        <v>0</v>
      </c>
      <c r="AE27" s="605">
        <f t="shared" si="6"/>
        <v>0</v>
      </c>
      <c r="AF27" s="605">
        <f t="shared" si="6"/>
        <v>0</v>
      </c>
      <c r="AG27" s="605">
        <f t="shared" si="6"/>
        <v>0</v>
      </c>
      <c r="AH27" s="605">
        <f t="shared" si="6"/>
        <v>0</v>
      </c>
      <c r="AI27" s="605">
        <f t="shared" si="6"/>
        <v>0</v>
      </c>
      <c r="AJ27" s="605">
        <f t="shared" si="6"/>
        <v>0</v>
      </c>
      <c r="AK27" s="605">
        <f t="shared" si="6"/>
        <v>0</v>
      </c>
      <c r="AL27" s="605">
        <f t="shared" si="6"/>
        <v>0</v>
      </c>
      <c r="AM27" s="605">
        <f t="shared" si="6"/>
        <v>832</v>
      </c>
      <c r="AN27" s="605">
        <f t="shared" ref="AN27" si="7">AN26</f>
        <v>0</v>
      </c>
    </row>
    <row r="28" spans="1:40" ht="15">
      <c r="A28" s="404"/>
      <c r="B28" s="597"/>
      <c r="C28" s="597"/>
      <c r="D28" s="404"/>
      <c r="E28" s="417"/>
      <c r="F28" s="418"/>
      <c r="G28" s="418"/>
      <c r="H28" s="418"/>
      <c r="I28" s="418"/>
      <c r="J28" s="418"/>
      <c r="K28" s="418"/>
      <c r="L28" s="418"/>
      <c r="M28" s="418"/>
      <c r="N28" s="418"/>
      <c r="O28" s="418"/>
      <c r="P28" s="418"/>
      <c r="Q28" s="418"/>
      <c r="R28" s="418"/>
      <c r="S28" s="418"/>
      <c r="T28" s="418"/>
      <c r="U28" s="418"/>
      <c r="V28" s="418"/>
      <c r="W28" s="418"/>
      <c r="X28" s="418"/>
      <c r="Y28" s="418"/>
      <c r="Z28" s="418"/>
      <c r="AA28" s="418"/>
      <c r="AB28" s="418"/>
      <c r="AC28" s="418"/>
      <c r="AD28" s="418"/>
      <c r="AE28" s="418"/>
      <c r="AF28" s="418"/>
      <c r="AG28" s="418"/>
      <c r="AH28" s="418"/>
      <c r="AI28" s="418"/>
      <c r="AJ28" s="418"/>
      <c r="AK28" s="418"/>
      <c r="AL28" s="418"/>
      <c r="AM28" s="418"/>
      <c r="AN28" s="418"/>
    </row>
    <row r="29" spans="1:40" ht="15">
      <c r="A29" s="408" t="s">
        <v>488</v>
      </c>
      <c r="B29" s="922" t="s">
        <v>601</v>
      </c>
      <c r="C29" s="922" t="s">
        <v>214</v>
      </c>
      <c r="D29" s="921" t="s">
        <v>154</v>
      </c>
      <c r="E29" s="773">
        <f t="shared" si="1"/>
        <v>2379.5369362419428</v>
      </c>
      <c r="F29" s="412">
        <v>268.77887847707518</v>
      </c>
      <c r="G29" s="412">
        <v>571.04077651486796</v>
      </c>
      <c r="H29" s="412">
        <v>0</v>
      </c>
      <c r="I29" s="412">
        <v>0</v>
      </c>
      <c r="J29" s="412">
        <v>0</v>
      </c>
      <c r="K29" s="412">
        <v>315</v>
      </c>
      <c r="L29" s="412">
        <v>0</v>
      </c>
      <c r="M29" s="412">
        <v>0</v>
      </c>
      <c r="N29" s="412">
        <v>0</v>
      </c>
      <c r="O29" s="412">
        <v>0</v>
      </c>
      <c r="P29" s="412">
        <v>13.074999999999999</v>
      </c>
      <c r="Q29" s="412">
        <v>0</v>
      </c>
      <c r="R29" s="412">
        <v>0</v>
      </c>
      <c r="S29" s="412">
        <v>0</v>
      </c>
      <c r="T29" s="412">
        <v>0</v>
      </c>
      <c r="U29" s="412">
        <v>0</v>
      </c>
      <c r="V29" s="412">
        <v>0</v>
      </c>
      <c r="W29" s="412">
        <v>0</v>
      </c>
      <c r="X29" s="412">
        <v>0</v>
      </c>
      <c r="Y29" s="412">
        <v>0</v>
      </c>
      <c r="Z29" s="412">
        <v>13.074999999999999</v>
      </c>
      <c r="AA29" s="412">
        <v>0</v>
      </c>
      <c r="AB29" s="412">
        <v>0</v>
      </c>
      <c r="AC29" s="412">
        <v>0</v>
      </c>
      <c r="AD29" s="412">
        <v>0</v>
      </c>
      <c r="AE29" s="412">
        <v>0</v>
      </c>
      <c r="AF29" s="412">
        <v>0</v>
      </c>
      <c r="AG29" s="412">
        <v>0</v>
      </c>
      <c r="AH29" s="412">
        <v>1185.4922812499999</v>
      </c>
      <c r="AI29" s="412">
        <v>0</v>
      </c>
      <c r="AJ29" s="412">
        <v>13.074999999999999</v>
      </c>
      <c r="AK29" s="412">
        <v>0</v>
      </c>
      <c r="AL29" s="412">
        <v>0</v>
      </c>
      <c r="AM29" s="412">
        <v>0</v>
      </c>
      <c r="AN29" s="412">
        <v>0</v>
      </c>
    </row>
    <row r="30" spans="1:40" ht="15">
      <c r="A30" s="408" t="s">
        <v>489</v>
      </c>
      <c r="B30" s="922"/>
      <c r="C30" s="922"/>
      <c r="D30" s="921"/>
      <c r="E30" s="773">
        <f t="shared" si="1"/>
        <v>2379.5369362419428</v>
      </c>
      <c r="F30" s="59">
        <f>F29</f>
        <v>268.77887847707518</v>
      </c>
      <c r="G30" s="59">
        <f>G29</f>
        <v>571.04077651486796</v>
      </c>
      <c r="H30" s="59">
        <f>H29</f>
        <v>0</v>
      </c>
      <c r="I30" s="59">
        <f>I29</f>
        <v>0</v>
      </c>
      <c r="J30" s="59">
        <f>J29</f>
        <v>0</v>
      </c>
      <c r="K30" s="59">
        <v>0</v>
      </c>
      <c r="L30" s="59">
        <f>L29</f>
        <v>0</v>
      </c>
      <c r="M30" s="59">
        <v>0</v>
      </c>
      <c r="N30" s="59">
        <v>0</v>
      </c>
      <c r="O30" s="59">
        <f>K29</f>
        <v>315</v>
      </c>
      <c r="P30" s="59">
        <f>(P29)</f>
        <v>13.074999999999999</v>
      </c>
      <c r="Q30" s="59">
        <v>0</v>
      </c>
      <c r="R30" s="59">
        <f t="shared" ref="R30:AM31" si="8">R29</f>
        <v>0</v>
      </c>
      <c r="S30" s="59">
        <f t="shared" si="8"/>
        <v>0</v>
      </c>
      <c r="T30" s="59">
        <f t="shared" si="8"/>
        <v>0</v>
      </c>
      <c r="U30" s="59">
        <f t="shared" si="8"/>
        <v>0</v>
      </c>
      <c r="V30" s="59">
        <f t="shared" si="8"/>
        <v>0</v>
      </c>
      <c r="W30" s="59">
        <f t="shared" si="8"/>
        <v>0</v>
      </c>
      <c r="X30" s="59">
        <f t="shared" si="8"/>
        <v>0</v>
      </c>
      <c r="Y30" s="59">
        <f t="shared" si="8"/>
        <v>0</v>
      </c>
      <c r="Z30" s="59">
        <f t="shared" si="8"/>
        <v>13.074999999999999</v>
      </c>
      <c r="AA30" s="59">
        <f t="shared" si="8"/>
        <v>0</v>
      </c>
      <c r="AB30" s="59">
        <f t="shared" si="8"/>
        <v>0</v>
      </c>
      <c r="AC30" s="59">
        <f t="shared" si="8"/>
        <v>0</v>
      </c>
      <c r="AD30" s="59">
        <f t="shared" si="8"/>
        <v>0</v>
      </c>
      <c r="AE30" s="59">
        <f t="shared" si="8"/>
        <v>0</v>
      </c>
      <c r="AF30" s="59">
        <f t="shared" si="8"/>
        <v>0</v>
      </c>
      <c r="AG30" s="59">
        <f t="shared" si="8"/>
        <v>0</v>
      </c>
      <c r="AH30" s="59">
        <f t="shared" si="8"/>
        <v>1185.4922812499999</v>
      </c>
      <c r="AI30" s="59">
        <f t="shared" si="8"/>
        <v>0</v>
      </c>
      <c r="AJ30" s="59">
        <f t="shared" si="8"/>
        <v>13.074999999999999</v>
      </c>
      <c r="AK30" s="59">
        <f t="shared" si="8"/>
        <v>0</v>
      </c>
      <c r="AL30" s="59">
        <f t="shared" si="8"/>
        <v>0</v>
      </c>
      <c r="AM30" s="59">
        <f t="shared" si="8"/>
        <v>0</v>
      </c>
      <c r="AN30" s="59">
        <v>0</v>
      </c>
    </row>
    <row r="31" spans="1:40" ht="15">
      <c r="A31" s="408" t="s">
        <v>611</v>
      </c>
      <c r="B31" s="922"/>
      <c r="C31" s="922"/>
      <c r="D31" s="921"/>
      <c r="E31" s="773">
        <f t="shared" si="1"/>
        <v>2379.5369362419433</v>
      </c>
      <c r="F31" s="605">
        <f>F30</f>
        <v>268.77887847707518</v>
      </c>
      <c r="G31" s="605">
        <f t="shared" ref="G31:N31" si="9">G30</f>
        <v>571.04077651486796</v>
      </c>
      <c r="H31" s="605">
        <f t="shared" si="9"/>
        <v>0</v>
      </c>
      <c r="I31" s="605">
        <f t="shared" si="9"/>
        <v>0</v>
      </c>
      <c r="J31" s="605">
        <f t="shared" si="9"/>
        <v>0</v>
      </c>
      <c r="K31" s="605">
        <f t="shared" si="9"/>
        <v>0</v>
      </c>
      <c r="L31" s="605">
        <f t="shared" si="9"/>
        <v>0</v>
      </c>
      <c r="M31" s="605">
        <f t="shared" si="9"/>
        <v>0</v>
      </c>
      <c r="N31" s="605">
        <f t="shared" si="9"/>
        <v>0</v>
      </c>
      <c r="O31" s="605">
        <v>0</v>
      </c>
      <c r="P31" s="605">
        <f>P30</f>
        <v>13.074999999999999</v>
      </c>
      <c r="Q31" s="605">
        <f>Q30</f>
        <v>0</v>
      </c>
      <c r="R31" s="605">
        <f>R30</f>
        <v>0</v>
      </c>
      <c r="S31" s="605">
        <f>S30</f>
        <v>0</v>
      </c>
      <c r="T31" s="605">
        <f>O30</f>
        <v>315</v>
      </c>
      <c r="U31" s="605">
        <f>U30</f>
        <v>0</v>
      </c>
      <c r="V31" s="605">
        <f t="shared" si="8"/>
        <v>0</v>
      </c>
      <c r="W31" s="605">
        <f t="shared" si="8"/>
        <v>0</v>
      </c>
      <c r="X31" s="605">
        <f t="shared" si="8"/>
        <v>0</v>
      </c>
      <c r="Y31" s="605">
        <f t="shared" si="8"/>
        <v>0</v>
      </c>
      <c r="Z31" s="605">
        <f t="shared" si="8"/>
        <v>13.074999999999999</v>
      </c>
      <c r="AA31" s="605">
        <f t="shared" si="8"/>
        <v>0</v>
      </c>
      <c r="AB31" s="605">
        <f t="shared" si="8"/>
        <v>0</v>
      </c>
      <c r="AC31" s="605">
        <f t="shared" si="8"/>
        <v>0</v>
      </c>
      <c r="AD31" s="605">
        <f t="shared" si="8"/>
        <v>0</v>
      </c>
      <c r="AE31" s="605">
        <f t="shared" si="8"/>
        <v>0</v>
      </c>
      <c r="AF31" s="605">
        <f t="shared" si="8"/>
        <v>0</v>
      </c>
      <c r="AG31" s="605">
        <f t="shared" si="8"/>
        <v>0</v>
      </c>
      <c r="AH31" s="605">
        <f t="shared" si="8"/>
        <v>1185.4922812499999</v>
      </c>
      <c r="AI31" s="605">
        <f t="shared" si="8"/>
        <v>0</v>
      </c>
      <c r="AJ31" s="605">
        <f t="shared" si="8"/>
        <v>13.074999999999999</v>
      </c>
      <c r="AK31" s="605">
        <f t="shared" si="8"/>
        <v>0</v>
      </c>
      <c r="AL31" s="605">
        <f t="shared" si="8"/>
        <v>0</v>
      </c>
      <c r="AM31" s="605">
        <f t="shared" si="8"/>
        <v>0</v>
      </c>
      <c r="AN31" s="605">
        <f t="shared" ref="AN31" si="10">AN30</f>
        <v>0</v>
      </c>
    </row>
    <row r="32" spans="1:40">
      <c r="B32" s="23"/>
    </row>
    <row r="33" spans="1:40" ht="15">
      <c r="A33" s="408" t="s">
        <v>488</v>
      </c>
      <c r="B33" s="922" t="s">
        <v>600</v>
      </c>
      <c r="C33" s="922" t="s">
        <v>263</v>
      </c>
      <c r="D33" s="921" t="s">
        <v>491</v>
      </c>
      <c r="E33" s="411">
        <f>SUM(F33:AN33)</f>
        <v>295.21300851178819</v>
      </c>
      <c r="F33" s="412">
        <v>0</v>
      </c>
      <c r="G33" s="412">
        <v>0</v>
      </c>
      <c r="H33" s="412">
        <v>54.787678505114776</v>
      </c>
      <c r="I33" s="412">
        <v>240.42533000667342</v>
      </c>
      <c r="J33" s="412">
        <v>0</v>
      </c>
      <c r="K33" s="412">
        <v>0</v>
      </c>
      <c r="L33" s="412">
        <v>0</v>
      </c>
      <c r="M33" s="412">
        <v>0</v>
      </c>
      <c r="N33" s="412">
        <v>0</v>
      </c>
      <c r="O33" s="412">
        <v>0</v>
      </c>
      <c r="P33" s="412">
        <v>0</v>
      </c>
      <c r="Q33" s="412">
        <v>0</v>
      </c>
      <c r="R33" s="412">
        <v>0</v>
      </c>
      <c r="S33" s="412">
        <v>0</v>
      </c>
      <c r="T33" s="412">
        <v>0</v>
      </c>
      <c r="U33" s="412">
        <v>0</v>
      </c>
      <c r="V33" s="412">
        <v>0</v>
      </c>
      <c r="W33" s="412">
        <v>0</v>
      </c>
      <c r="X33" s="412">
        <v>0</v>
      </c>
      <c r="Y33" s="412">
        <v>0</v>
      </c>
      <c r="Z33" s="412">
        <v>0</v>
      </c>
      <c r="AA33" s="412">
        <v>0</v>
      </c>
      <c r="AB33" s="412">
        <v>0</v>
      </c>
      <c r="AC33" s="412">
        <v>0</v>
      </c>
      <c r="AD33" s="412">
        <v>0</v>
      </c>
      <c r="AE33" s="412">
        <v>0</v>
      </c>
      <c r="AF33" s="412">
        <v>0</v>
      </c>
      <c r="AG33" s="412">
        <v>0</v>
      </c>
      <c r="AH33" s="412">
        <v>0</v>
      </c>
      <c r="AI33" s="412">
        <v>0</v>
      </c>
      <c r="AJ33" s="412">
        <v>0</v>
      </c>
      <c r="AK33" s="412">
        <v>0</v>
      </c>
      <c r="AL33" s="412">
        <v>0</v>
      </c>
      <c r="AM33" s="412">
        <v>0</v>
      </c>
      <c r="AN33" s="412">
        <v>0</v>
      </c>
    </row>
    <row r="34" spans="1:40" ht="15">
      <c r="A34" s="408" t="s">
        <v>489</v>
      </c>
      <c r="B34" s="922"/>
      <c r="C34" s="922"/>
      <c r="D34" s="921"/>
      <c r="E34" s="167">
        <f>SUM(F34:AN34)</f>
        <v>836.08342056274353</v>
      </c>
      <c r="F34" s="59">
        <v>0</v>
      </c>
      <c r="G34" s="59">
        <v>0</v>
      </c>
      <c r="H34" s="59">
        <v>0</v>
      </c>
      <c r="I34" s="59">
        <v>351.66326552836887</v>
      </c>
      <c r="J34" s="59">
        <v>100.19719004657122</v>
      </c>
      <c r="K34" s="59">
        <v>234.22931761234358</v>
      </c>
      <c r="L34" s="59">
        <v>149.99364737545989</v>
      </c>
      <c r="M34" s="59">
        <f t="shared" ref="M34:AN34" si="11">M33</f>
        <v>0</v>
      </c>
      <c r="N34" s="59">
        <f t="shared" si="11"/>
        <v>0</v>
      </c>
      <c r="O34" s="59">
        <f t="shared" si="11"/>
        <v>0</v>
      </c>
      <c r="P34" s="59">
        <f t="shared" si="11"/>
        <v>0</v>
      </c>
      <c r="Q34" s="59">
        <f t="shared" si="11"/>
        <v>0</v>
      </c>
      <c r="R34" s="59">
        <f t="shared" si="11"/>
        <v>0</v>
      </c>
      <c r="S34" s="59">
        <f t="shared" si="11"/>
        <v>0</v>
      </c>
      <c r="T34" s="59">
        <f t="shared" si="11"/>
        <v>0</v>
      </c>
      <c r="U34" s="59">
        <f t="shared" si="11"/>
        <v>0</v>
      </c>
      <c r="V34" s="59">
        <f t="shared" si="11"/>
        <v>0</v>
      </c>
      <c r="W34" s="59">
        <f t="shared" si="11"/>
        <v>0</v>
      </c>
      <c r="X34" s="59">
        <f t="shared" si="11"/>
        <v>0</v>
      </c>
      <c r="Y34" s="59">
        <f t="shared" si="11"/>
        <v>0</v>
      </c>
      <c r="Z34" s="59">
        <f t="shared" si="11"/>
        <v>0</v>
      </c>
      <c r="AA34" s="59">
        <f t="shared" si="11"/>
        <v>0</v>
      </c>
      <c r="AB34" s="59">
        <f t="shared" si="11"/>
        <v>0</v>
      </c>
      <c r="AC34" s="59">
        <f t="shared" si="11"/>
        <v>0</v>
      </c>
      <c r="AD34" s="59">
        <f t="shared" si="11"/>
        <v>0</v>
      </c>
      <c r="AE34" s="59">
        <f t="shared" si="11"/>
        <v>0</v>
      </c>
      <c r="AF34" s="59">
        <f t="shared" si="11"/>
        <v>0</v>
      </c>
      <c r="AG34" s="59">
        <f t="shared" si="11"/>
        <v>0</v>
      </c>
      <c r="AH34" s="59">
        <f t="shared" si="11"/>
        <v>0</v>
      </c>
      <c r="AI34" s="59">
        <f t="shared" si="11"/>
        <v>0</v>
      </c>
      <c r="AJ34" s="59">
        <f t="shared" si="11"/>
        <v>0</v>
      </c>
      <c r="AK34" s="59">
        <f t="shared" si="11"/>
        <v>0</v>
      </c>
      <c r="AL34" s="59">
        <f t="shared" si="11"/>
        <v>0</v>
      </c>
      <c r="AM34" s="59">
        <f t="shared" si="11"/>
        <v>0</v>
      </c>
      <c r="AN34" s="59">
        <f t="shared" si="11"/>
        <v>0</v>
      </c>
    </row>
    <row r="35" spans="1:40" ht="15">
      <c r="A35" s="408" t="s">
        <v>611</v>
      </c>
      <c r="B35" s="922"/>
      <c r="C35" s="922"/>
      <c r="D35" s="921"/>
      <c r="E35" s="167">
        <f>SUM(F35:AN35)</f>
        <v>1382.1802687464378</v>
      </c>
      <c r="F35" s="605"/>
      <c r="G35" s="605"/>
      <c r="H35" s="605"/>
      <c r="I35" s="605">
        <v>351.66326552836887</v>
      </c>
      <c r="J35" s="605">
        <v>100.19719004657122</v>
      </c>
      <c r="K35" s="605">
        <v>234.22931761234358</v>
      </c>
      <c r="L35" s="605">
        <v>161.41457600387525</v>
      </c>
      <c r="M35" s="605">
        <v>60.023443275589834</v>
      </c>
      <c r="N35" s="605">
        <v>225.6524762796891</v>
      </c>
      <c r="O35" s="605">
        <v>134</v>
      </c>
      <c r="P35" s="605">
        <v>115</v>
      </c>
      <c r="Q35" s="605">
        <v>0</v>
      </c>
      <c r="R35" s="605">
        <v>0</v>
      </c>
      <c r="S35" s="605">
        <v>0</v>
      </c>
      <c r="T35" s="605">
        <v>0</v>
      </c>
      <c r="U35" s="605">
        <v>0</v>
      </c>
      <c r="V35" s="605">
        <v>0</v>
      </c>
      <c r="W35" s="605">
        <v>0</v>
      </c>
      <c r="X35" s="605">
        <v>0</v>
      </c>
      <c r="Y35" s="605">
        <v>0</v>
      </c>
      <c r="Z35" s="605">
        <v>0</v>
      </c>
      <c r="AA35" s="605">
        <v>0</v>
      </c>
      <c r="AB35" s="605">
        <v>0</v>
      </c>
      <c r="AC35" s="605">
        <v>0</v>
      </c>
      <c r="AD35" s="605">
        <v>0</v>
      </c>
      <c r="AE35" s="605">
        <v>0</v>
      </c>
      <c r="AF35" s="605">
        <v>0</v>
      </c>
      <c r="AG35" s="605">
        <v>0</v>
      </c>
      <c r="AH35" s="605">
        <v>0</v>
      </c>
      <c r="AI35" s="605">
        <v>0</v>
      </c>
      <c r="AJ35" s="605">
        <v>0</v>
      </c>
      <c r="AK35" s="605">
        <v>0</v>
      </c>
      <c r="AL35" s="605">
        <v>0</v>
      </c>
      <c r="AM35" s="605">
        <v>0</v>
      </c>
      <c r="AN35" s="605">
        <v>0</v>
      </c>
    </row>
    <row r="36" spans="1:40" ht="15">
      <c r="A36" s="858" t="s">
        <v>689</v>
      </c>
      <c r="B36" s="922"/>
      <c r="C36" s="922"/>
      <c r="D36" s="921"/>
      <c r="E36" s="167">
        <f>SUM(F36:AN36)</f>
        <v>1616.5669935871119</v>
      </c>
      <c r="F36" s="605"/>
      <c r="G36" s="605"/>
      <c r="H36" s="605"/>
      <c r="I36" s="605">
        <v>351.66326552836887</v>
      </c>
      <c r="J36" s="605">
        <v>100.19719004657122</v>
      </c>
      <c r="K36" s="605">
        <v>234.22931761234358</v>
      </c>
      <c r="L36" s="605">
        <v>161.41457600387525</v>
      </c>
      <c r="M36" s="605">
        <v>60.023443275589834</v>
      </c>
      <c r="N36" s="605">
        <v>225.6524762796891</v>
      </c>
      <c r="O36" s="605">
        <v>134</v>
      </c>
      <c r="P36" s="854">
        <f>115+'Locação Passarela'!H36</f>
        <v>134.5181721628602</v>
      </c>
      <c r="Q36" s="854">
        <f>'Locação Passarela'!I36</f>
        <v>107.80165851185451</v>
      </c>
      <c r="R36" s="854">
        <f>'Locação Passarela'!J36</f>
        <v>107.06689416595941</v>
      </c>
      <c r="S36" s="605">
        <v>0</v>
      </c>
      <c r="T36" s="605">
        <v>0</v>
      </c>
      <c r="U36" s="605">
        <v>0</v>
      </c>
      <c r="V36" s="605">
        <v>0</v>
      </c>
      <c r="W36" s="605">
        <v>0</v>
      </c>
      <c r="X36" s="605">
        <v>0</v>
      </c>
      <c r="Y36" s="605">
        <v>0</v>
      </c>
      <c r="Z36" s="605">
        <v>0</v>
      </c>
      <c r="AA36" s="605">
        <v>0</v>
      </c>
      <c r="AB36" s="605">
        <v>0</v>
      </c>
      <c r="AC36" s="605">
        <v>0</v>
      </c>
      <c r="AD36" s="605">
        <v>0</v>
      </c>
      <c r="AE36" s="605">
        <v>0</v>
      </c>
      <c r="AF36" s="605">
        <v>0</v>
      </c>
      <c r="AG36" s="605">
        <v>0</v>
      </c>
      <c r="AH36" s="605">
        <v>0</v>
      </c>
      <c r="AI36" s="605">
        <v>0</v>
      </c>
      <c r="AJ36" s="605">
        <v>0</v>
      </c>
      <c r="AK36" s="605">
        <v>0</v>
      </c>
      <c r="AL36" s="605">
        <v>0</v>
      </c>
      <c r="AM36" s="605">
        <v>0</v>
      </c>
      <c r="AN36" s="605">
        <v>0</v>
      </c>
    </row>
    <row r="37" spans="1:40">
      <c r="B37" s="23"/>
      <c r="F37" s="441"/>
      <c r="K37" s="441"/>
      <c r="O37" s="440"/>
      <c r="P37" s="440"/>
    </row>
    <row r="38" spans="1:40">
      <c r="B38" s="23"/>
    </row>
    <row r="39" spans="1:40" s="420" customFormat="1" ht="15">
      <c r="A39" s="419" t="s">
        <v>495</v>
      </c>
      <c r="B39" s="598"/>
      <c r="C39" s="598"/>
    </row>
    <row r="40" spans="1:40" ht="15">
      <c r="A40" s="408" t="s">
        <v>488</v>
      </c>
      <c r="B40" s="922" t="s">
        <v>601</v>
      </c>
      <c r="C40" s="922" t="s">
        <v>140</v>
      </c>
      <c r="D40" s="921" t="s">
        <v>493</v>
      </c>
      <c r="E40" s="411">
        <f>SUM(F40:AN40)</f>
        <v>8133.919925055</v>
      </c>
      <c r="F40" s="412">
        <v>0</v>
      </c>
      <c r="G40" s="412">
        <v>0</v>
      </c>
      <c r="H40" s="412">
        <v>0</v>
      </c>
      <c r="I40" s="412">
        <v>0</v>
      </c>
      <c r="J40" s="412">
        <v>0</v>
      </c>
      <c r="K40" s="412">
        <v>0</v>
      </c>
      <c r="L40" s="412">
        <v>8133.919925055</v>
      </c>
      <c r="M40" s="412">
        <v>0</v>
      </c>
      <c r="N40" s="412">
        <v>0</v>
      </c>
      <c r="O40" s="412">
        <v>0</v>
      </c>
      <c r="P40" s="412">
        <v>0</v>
      </c>
      <c r="Q40" s="412">
        <v>0</v>
      </c>
      <c r="R40" s="412">
        <v>0</v>
      </c>
      <c r="S40" s="412">
        <v>0</v>
      </c>
      <c r="T40" s="412">
        <v>0</v>
      </c>
      <c r="U40" s="412">
        <v>0</v>
      </c>
      <c r="V40" s="412">
        <v>0</v>
      </c>
      <c r="W40" s="412">
        <v>0</v>
      </c>
      <c r="X40" s="412">
        <v>0</v>
      </c>
      <c r="Y40" s="412">
        <v>0</v>
      </c>
      <c r="Z40" s="412">
        <v>0</v>
      </c>
      <c r="AA40" s="412">
        <v>0</v>
      </c>
      <c r="AB40" s="412">
        <v>0</v>
      </c>
      <c r="AC40" s="412">
        <v>0</v>
      </c>
      <c r="AD40" s="412">
        <v>0</v>
      </c>
      <c r="AE40" s="412">
        <v>0</v>
      </c>
      <c r="AF40" s="412">
        <v>0</v>
      </c>
      <c r="AG40" s="412">
        <v>0</v>
      </c>
      <c r="AH40" s="412">
        <v>0</v>
      </c>
      <c r="AI40" s="412">
        <v>0</v>
      </c>
      <c r="AJ40" s="412">
        <v>0</v>
      </c>
      <c r="AK40" s="412">
        <v>0</v>
      </c>
      <c r="AL40" s="412">
        <v>0</v>
      </c>
      <c r="AM40" s="412">
        <v>0</v>
      </c>
      <c r="AN40" s="412">
        <v>0</v>
      </c>
    </row>
    <row r="41" spans="1:40" ht="15">
      <c r="A41" s="408" t="s">
        <v>489</v>
      </c>
      <c r="B41" s="922"/>
      <c r="C41" s="922"/>
      <c r="D41" s="921"/>
      <c r="E41" s="167">
        <f>SUM(F41:AN41)</f>
        <v>8133.919925055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8133.919925055</v>
      </c>
      <c r="O41" s="59">
        <v>0</v>
      </c>
      <c r="P41" s="59">
        <v>0</v>
      </c>
      <c r="Q41" s="59">
        <v>0</v>
      </c>
      <c r="R41" s="59">
        <v>0</v>
      </c>
      <c r="S41" s="59">
        <v>0</v>
      </c>
      <c r="T41" s="59">
        <v>0</v>
      </c>
      <c r="U41" s="59">
        <v>0</v>
      </c>
      <c r="V41" s="59">
        <v>0</v>
      </c>
      <c r="W41" s="59">
        <v>0</v>
      </c>
      <c r="X41" s="59">
        <v>0</v>
      </c>
      <c r="Y41" s="59">
        <v>0</v>
      </c>
      <c r="Z41" s="59">
        <v>0</v>
      </c>
      <c r="AA41" s="59">
        <v>0</v>
      </c>
      <c r="AB41" s="59">
        <v>0</v>
      </c>
      <c r="AC41" s="59">
        <v>0</v>
      </c>
      <c r="AD41" s="59">
        <v>0</v>
      </c>
      <c r="AE41" s="59">
        <v>0</v>
      </c>
      <c r="AF41" s="59">
        <v>0</v>
      </c>
      <c r="AG41" s="59">
        <v>0</v>
      </c>
      <c r="AH41" s="59">
        <v>0</v>
      </c>
      <c r="AI41" s="59">
        <v>0</v>
      </c>
      <c r="AJ41" s="59">
        <v>0</v>
      </c>
      <c r="AK41" s="59">
        <v>0</v>
      </c>
      <c r="AL41" s="59">
        <v>0</v>
      </c>
      <c r="AM41" s="59">
        <v>0</v>
      </c>
      <c r="AN41" s="59">
        <v>0</v>
      </c>
    </row>
    <row r="42" spans="1:40" ht="15">
      <c r="A42" s="408" t="s">
        <v>611</v>
      </c>
      <c r="B42" s="922"/>
      <c r="C42" s="922"/>
      <c r="D42" s="921"/>
      <c r="E42" s="167">
        <f>SUM(F42:AN42)</f>
        <v>8133.919925055</v>
      </c>
      <c r="F42" s="605">
        <v>0</v>
      </c>
      <c r="G42" s="605">
        <v>0</v>
      </c>
      <c r="H42" s="605">
        <v>0</v>
      </c>
      <c r="I42" s="605">
        <v>0</v>
      </c>
      <c r="J42" s="605">
        <v>0</v>
      </c>
      <c r="K42" s="605">
        <v>0</v>
      </c>
      <c r="L42" s="605">
        <v>0</v>
      </c>
      <c r="M42" s="605">
        <v>0</v>
      </c>
      <c r="N42" s="745">
        <v>0</v>
      </c>
      <c r="O42" s="605">
        <v>0</v>
      </c>
      <c r="P42" s="605">
        <v>0</v>
      </c>
      <c r="Q42" s="605">
        <v>0</v>
      </c>
      <c r="R42" s="605">
        <f>N41</f>
        <v>8133.919925055</v>
      </c>
      <c r="S42" s="605">
        <v>0</v>
      </c>
      <c r="T42" s="605">
        <v>0</v>
      </c>
      <c r="U42" s="605">
        <v>0</v>
      </c>
      <c r="V42" s="605">
        <v>0</v>
      </c>
      <c r="W42" s="605">
        <v>0</v>
      </c>
      <c r="X42" s="605">
        <v>0</v>
      </c>
      <c r="Y42" s="605">
        <v>0</v>
      </c>
      <c r="Z42" s="605">
        <v>0</v>
      </c>
      <c r="AA42" s="605">
        <v>0</v>
      </c>
      <c r="AB42" s="605">
        <v>0</v>
      </c>
      <c r="AC42" s="605">
        <v>0</v>
      </c>
      <c r="AD42" s="605">
        <v>0</v>
      </c>
      <c r="AE42" s="605">
        <v>0</v>
      </c>
      <c r="AF42" s="605">
        <v>0</v>
      </c>
      <c r="AG42" s="605">
        <v>0</v>
      </c>
      <c r="AH42" s="605">
        <v>0</v>
      </c>
      <c r="AI42" s="605">
        <v>0</v>
      </c>
      <c r="AJ42" s="605">
        <v>0</v>
      </c>
      <c r="AK42" s="605">
        <v>0</v>
      </c>
      <c r="AL42" s="605">
        <v>0</v>
      </c>
      <c r="AM42" s="605">
        <v>0</v>
      </c>
      <c r="AN42" s="605">
        <v>0</v>
      </c>
    </row>
    <row r="43" spans="1:40" ht="15">
      <c r="A43" s="408" t="s">
        <v>682</v>
      </c>
      <c r="B43" s="922"/>
      <c r="C43" s="922"/>
      <c r="D43" s="921"/>
      <c r="E43" s="167">
        <f>SUM(F43:AN43)</f>
        <v>8133.919925055</v>
      </c>
      <c r="F43" s="605">
        <v>0</v>
      </c>
      <c r="G43" s="605">
        <v>0</v>
      </c>
      <c r="H43" s="605">
        <v>0</v>
      </c>
      <c r="I43" s="605">
        <v>0</v>
      </c>
      <c r="J43" s="605">
        <v>0</v>
      </c>
      <c r="K43" s="605">
        <v>0</v>
      </c>
      <c r="L43" s="605">
        <v>0</v>
      </c>
      <c r="M43" s="605">
        <v>0</v>
      </c>
      <c r="N43" s="745">
        <v>0</v>
      </c>
      <c r="O43" s="605">
        <v>0</v>
      </c>
      <c r="P43" s="605">
        <v>0</v>
      </c>
      <c r="Q43" s="605">
        <v>0</v>
      </c>
      <c r="R43" s="605">
        <v>0</v>
      </c>
      <c r="S43" s="605">
        <v>0</v>
      </c>
      <c r="T43" s="605">
        <v>0</v>
      </c>
      <c r="U43" s="605">
        <v>0</v>
      </c>
      <c r="V43" s="605">
        <f>R42</f>
        <v>8133.919925055</v>
      </c>
      <c r="W43" s="605">
        <v>0</v>
      </c>
      <c r="X43" s="605">
        <v>0</v>
      </c>
      <c r="Y43" s="605">
        <v>0</v>
      </c>
      <c r="Z43" s="605">
        <v>0</v>
      </c>
      <c r="AA43" s="605">
        <v>0</v>
      </c>
      <c r="AB43" s="605">
        <v>0</v>
      </c>
      <c r="AC43" s="605">
        <v>0</v>
      </c>
      <c r="AD43" s="605">
        <v>0</v>
      </c>
      <c r="AE43" s="605">
        <v>0</v>
      </c>
      <c r="AF43" s="605">
        <v>0</v>
      </c>
      <c r="AG43" s="605">
        <v>0</v>
      </c>
      <c r="AH43" s="605">
        <v>0</v>
      </c>
      <c r="AI43" s="605">
        <v>0</v>
      </c>
      <c r="AJ43" s="605">
        <v>0</v>
      </c>
      <c r="AK43" s="605">
        <v>0</v>
      </c>
      <c r="AL43" s="605">
        <v>0</v>
      </c>
      <c r="AM43" s="605">
        <v>0</v>
      </c>
      <c r="AN43" s="605">
        <v>0</v>
      </c>
    </row>
    <row r="44" spans="1:40">
      <c r="B44" s="23"/>
      <c r="N44" s="441"/>
    </row>
    <row r="45" spans="1:40" ht="15">
      <c r="A45" s="408" t="s">
        <v>488</v>
      </c>
      <c r="B45" s="922" t="s">
        <v>601</v>
      </c>
      <c r="C45" s="922" t="s">
        <v>202</v>
      </c>
      <c r="D45" s="921" t="s">
        <v>494</v>
      </c>
      <c r="E45" s="411">
        <f>SUM(F45:AN45)</f>
        <v>5920.5367375786209</v>
      </c>
      <c r="F45" s="412">
        <v>0</v>
      </c>
      <c r="G45" s="412">
        <v>0</v>
      </c>
      <c r="H45" s="412">
        <v>0</v>
      </c>
      <c r="I45" s="412">
        <v>0</v>
      </c>
      <c r="J45" s="412">
        <v>1439.2423733208</v>
      </c>
      <c r="K45" s="412">
        <v>0</v>
      </c>
      <c r="L45" s="412">
        <v>0</v>
      </c>
      <c r="M45" s="412">
        <v>0</v>
      </c>
      <c r="N45" s="746">
        <v>0</v>
      </c>
      <c r="O45" s="412">
        <v>0</v>
      </c>
      <c r="P45" s="412">
        <v>1493.7647880859399</v>
      </c>
      <c r="Q45" s="412">
        <v>0</v>
      </c>
      <c r="R45" s="412">
        <v>0</v>
      </c>
      <c r="S45" s="412">
        <v>0</v>
      </c>
      <c r="T45" s="412">
        <v>0</v>
      </c>
      <c r="U45" s="412">
        <v>0</v>
      </c>
      <c r="V45" s="412">
        <v>0</v>
      </c>
      <c r="W45" s="412">
        <v>0</v>
      </c>
      <c r="X45" s="412">
        <v>0</v>
      </c>
      <c r="Y45" s="412">
        <v>0</v>
      </c>
      <c r="Z45" s="412">
        <v>1493.7647880859399</v>
      </c>
      <c r="AA45" s="412">
        <v>0</v>
      </c>
      <c r="AB45" s="412">
        <v>0</v>
      </c>
      <c r="AC45" s="412">
        <v>0</v>
      </c>
      <c r="AD45" s="412">
        <v>0</v>
      </c>
      <c r="AE45" s="412">
        <v>0</v>
      </c>
      <c r="AF45" s="412">
        <v>0</v>
      </c>
      <c r="AG45" s="412">
        <v>0</v>
      </c>
      <c r="AH45" s="412">
        <v>0</v>
      </c>
      <c r="AI45" s="412">
        <v>0</v>
      </c>
      <c r="AJ45" s="412">
        <v>1493.7647880859399</v>
      </c>
      <c r="AK45" s="412">
        <v>0</v>
      </c>
      <c r="AL45" s="412">
        <v>0</v>
      </c>
      <c r="AM45" s="412">
        <v>0</v>
      </c>
      <c r="AN45" s="412">
        <v>0</v>
      </c>
    </row>
    <row r="46" spans="1:40" ht="15">
      <c r="A46" s="408" t="s">
        <v>489</v>
      </c>
      <c r="B46" s="922"/>
      <c r="C46" s="922"/>
      <c r="D46" s="921"/>
      <c r="E46" s="167">
        <f>SUM(F46:AN46)</f>
        <v>5920.5367375786209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f>J45</f>
        <v>1439.2423733208</v>
      </c>
      <c r="O46" s="59">
        <v>0</v>
      </c>
      <c r="P46" s="59">
        <v>0</v>
      </c>
      <c r="Q46" s="59">
        <f t="shared" ref="Q46:AM46" si="12">Q45</f>
        <v>0</v>
      </c>
      <c r="R46" s="59">
        <f t="shared" si="12"/>
        <v>0</v>
      </c>
      <c r="S46" s="59">
        <f t="shared" si="12"/>
        <v>0</v>
      </c>
      <c r="T46" s="59">
        <f t="shared" si="12"/>
        <v>0</v>
      </c>
      <c r="U46" s="59">
        <f t="shared" si="12"/>
        <v>0</v>
      </c>
      <c r="V46" s="59">
        <f t="shared" si="12"/>
        <v>0</v>
      </c>
      <c r="W46" s="59">
        <f>P45</f>
        <v>1493.7647880859399</v>
      </c>
      <c r="X46" s="59">
        <f t="shared" si="12"/>
        <v>0</v>
      </c>
      <c r="Y46" s="59">
        <f t="shared" si="12"/>
        <v>0</v>
      </c>
      <c r="Z46" s="59">
        <v>0</v>
      </c>
      <c r="AA46" s="59">
        <f t="shared" si="12"/>
        <v>0</v>
      </c>
      <c r="AB46" s="59">
        <f t="shared" si="12"/>
        <v>0</v>
      </c>
      <c r="AC46" s="59">
        <f t="shared" si="12"/>
        <v>0</v>
      </c>
      <c r="AD46" s="59">
        <f t="shared" si="12"/>
        <v>0</v>
      </c>
      <c r="AE46" s="59">
        <f t="shared" si="12"/>
        <v>0</v>
      </c>
      <c r="AF46" s="59">
        <f t="shared" si="12"/>
        <v>0</v>
      </c>
      <c r="AG46" s="59">
        <f>Z45</f>
        <v>1493.7647880859399</v>
      </c>
      <c r="AH46" s="59">
        <f t="shared" si="12"/>
        <v>0</v>
      </c>
      <c r="AI46" s="59">
        <f t="shared" si="12"/>
        <v>0</v>
      </c>
      <c r="AJ46" s="59">
        <v>0</v>
      </c>
      <c r="AK46" s="59">
        <f t="shared" si="12"/>
        <v>0</v>
      </c>
      <c r="AL46" s="59">
        <f t="shared" si="12"/>
        <v>0</v>
      </c>
      <c r="AM46" s="59">
        <f t="shared" si="12"/>
        <v>0</v>
      </c>
      <c r="AN46" s="59">
        <f>AJ45</f>
        <v>1493.7647880859399</v>
      </c>
    </row>
    <row r="47" spans="1:40" ht="15">
      <c r="A47" s="408" t="s">
        <v>611</v>
      </c>
      <c r="B47" s="922"/>
      <c r="C47" s="922"/>
      <c r="D47" s="921"/>
      <c r="E47" s="167">
        <f>SUM(F47:AN47)</f>
        <v>5920.5367375786209</v>
      </c>
      <c r="F47" s="605">
        <v>0</v>
      </c>
      <c r="G47" s="605">
        <v>0</v>
      </c>
      <c r="H47" s="605">
        <v>0</v>
      </c>
      <c r="I47" s="605">
        <v>0</v>
      </c>
      <c r="J47" s="605">
        <v>0</v>
      </c>
      <c r="K47" s="605">
        <v>0</v>
      </c>
      <c r="L47" s="605">
        <v>0</v>
      </c>
      <c r="M47" s="605">
        <v>0</v>
      </c>
      <c r="N47" s="605">
        <v>0</v>
      </c>
      <c r="O47" s="605">
        <v>0</v>
      </c>
      <c r="P47" s="605">
        <v>0</v>
      </c>
      <c r="Q47" s="605">
        <v>0</v>
      </c>
      <c r="R47" s="605">
        <f>N46</f>
        <v>1439.2423733208</v>
      </c>
      <c r="S47" s="605">
        <v>0</v>
      </c>
      <c r="T47" s="605">
        <v>0</v>
      </c>
      <c r="U47" s="605">
        <v>0</v>
      </c>
      <c r="V47" s="605">
        <v>0</v>
      </c>
      <c r="W47" s="605">
        <v>0</v>
      </c>
      <c r="X47" s="605">
        <v>0</v>
      </c>
      <c r="Y47" s="605">
        <f>W46</f>
        <v>1493.7647880859399</v>
      </c>
      <c r="Z47" s="605">
        <f>Y46</f>
        <v>0</v>
      </c>
      <c r="AA47" s="605">
        <v>0</v>
      </c>
      <c r="AB47" s="605">
        <v>0</v>
      </c>
      <c r="AC47" s="605">
        <v>0</v>
      </c>
      <c r="AD47" s="605">
        <v>0</v>
      </c>
      <c r="AE47" s="605">
        <v>0</v>
      </c>
      <c r="AF47" s="605">
        <v>0</v>
      </c>
      <c r="AG47" s="605">
        <f>AG46</f>
        <v>1493.7647880859399</v>
      </c>
      <c r="AH47" s="605">
        <v>0</v>
      </c>
      <c r="AI47" s="605">
        <v>0</v>
      </c>
      <c r="AJ47" s="605">
        <v>0</v>
      </c>
      <c r="AK47" s="605">
        <v>0</v>
      </c>
      <c r="AL47" s="605">
        <v>0</v>
      </c>
      <c r="AM47" s="605">
        <v>0</v>
      </c>
      <c r="AN47" s="605">
        <f>AN46</f>
        <v>1493.7647880859399</v>
      </c>
    </row>
    <row r="48" spans="1:40" ht="15">
      <c r="A48" s="408" t="s">
        <v>682</v>
      </c>
      <c r="B48" s="922"/>
      <c r="C48" s="922"/>
      <c r="D48" s="921"/>
      <c r="E48" s="167">
        <f>SUM(F48:AN48)</f>
        <v>4426.7719494926805</v>
      </c>
      <c r="F48" s="605">
        <v>0</v>
      </c>
      <c r="G48" s="605">
        <v>0</v>
      </c>
      <c r="H48" s="605">
        <v>0</v>
      </c>
      <c r="I48" s="605">
        <v>0</v>
      </c>
      <c r="J48" s="605">
        <v>0</v>
      </c>
      <c r="K48" s="605">
        <v>0</v>
      </c>
      <c r="L48" s="605">
        <v>0</v>
      </c>
      <c r="M48" s="605">
        <v>0</v>
      </c>
      <c r="N48" s="745">
        <v>0</v>
      </c>
      <c r="O48" s="605">
        <v>0</v>
      </c>
      <c r="P48" s="605">
        <v>0</v>
      </c>
      <c r="Q48" s="605">
        <v>0</v>
      </c>
      <c r="R48" s="605">
        <v>0</v>
      </c>
      <c r="S48" s="605">
        <v>0</v>
      </c>
      <c r="T48" s="605">
        <v>0</v>
      </c>
      <c r="U48" s="605">
        <v>0</v>
      </c>
      <c r="V48" s="605">
        <f>R47</f>
        <v>1439.2423733208</v>
      </c>
      <c r="W48" s="605">
        <v>0</v>
      </c>
      <c r="X48" s="605">
        <v>0</v>
      </c>
      <c r="Y48" s="605">
        <v>0</v>
      </c>
      <c r="Z48" s="605">
        <v>0</v>
      </c>
      <c r="AA48" s="605">
        <v>0</v>
      </c>
      <c r="AB48" s="605">
        <v>0</v>
      </c>
      <c r="AC48" s="605">
        <f>Y47</f>
        <v>1493.7647880859399</v>
      </c>
      <c r="AD48" s="605">
        <v>0</v>
      </c>
      <c r="AE48" s="605">
        <v>0</v>
      </c>
      <c r="AF48" s="605">
        <v>0</v>
      </c>
      <c r="AG48" s="605">
        <v>0</v>
      </c>
      <c r="AH48" s="605">
        <v>0</v>
      </c>
      <c r="AI48" s="605">
        <v>0</v>
      </c>
      <c r="AJ48" s="605">
        <f>AC48</f>
        <v>1493.7647880859399</v>
      </c>
      <c r="AK48" s="605">
        <v>0</v>
      </c>
      <c r="AL48" s="605">
        <v>0</v>
      </c>
      <c r="AM48" s="605">
        <v>0</v>
      </c>
      <c r="AN48" s="605">
        <v>0</v>
      </c>
    </row>
    <row r="49" spans="1:40">
      <c r="B49" s="23"/>
      <c r="N49" s="441"/>
    </row>
    <row r="50" spans="1:40" ht="15">
      <c r="A50" s="408" t="s">
        <v>488</v>
      </c>
      <c r="B50" s="922" t="s">
        <v>600</v>
      </c>
      <c r="C50" s="922" t="s">
        <v>602</v>
      </c>
      <c r="D50" s="921" t="s">
        <v>248</v>
      </c>
      <c r="E50" s="411">
        <f>SUM(F50:AN50)</f>
        <v>16947.89197036171</v>
      </c>
      <c r="F50" s="412">
        <v>0</v>
      </c>
      <c r="G50" s="412">
        <v>0</v>
      </c>
      <c r="H50" s="412">
        <v>0</v>
      </c>
      <c r="I50" s="412">
        <v>0</v>
      </c>
      <c r="J50" s="412">
        <v>462.85020319775202</v>
      </c>
      <c r="K50" s="412">
        <v>466.971580753659</v>
      </c>
      <c r="L50" s="412">
        <v>470.73938365446497</v>
      </c>
      <c r="M50" s="412">
        <v>474.48302589074598</v>
      </c>
      <c r="N50" s="412">
        <v>478.260475729512</v>
      </c>
      <c r="O50" s="412">
        <v>482.04919296551799</v>
      </c>
      <c r="P50" s="412">
        <v>488.35009619596798</v>
      </c>
      <c r="Q50" s="412">
        <v>494.64045440065729</v>
      </c>
      <c r="R50" s="412">
        <v>500.89330722238634</v>
      </c>
      <c r="S50" s="412">
        <v>507.08650855819087</v>
      </c>
      <c r="T50" s="412">
        <v>513.20094103595511</v>
      </c>
      <c r="U50" s="412">
        <v>519.21907095135202</v>
      </c>
      <c r="V50" s="412">
        <v>525.13337794945039</v>
      </c>
      <c r="W50" s="412">
        <v>530.94703314515186</v>
      </c>
      <c r="X50" s="412">
        <v>536.66494530772093</v>
      </c>
      <c r="Y50" s="412">
        <v>542.37462826669639</v>
      </c>
      <c r="Z50" s="412">
        <v>549.99455146298601</v>
      </c>
      <c r="AA50" s="412">
        <v>557.46481235513966</v>
      </c>
      <c r="AB50" s="412">
        <v>564.78273306869175</v>
      </c>
      <c r="AC50" s="412">
        <v>571.94405529662095</v>
      </c>
      <c r="AD50" s="412">
        <v>578.94380993464677</v>
      </c>
      <c r="AE50" s="412">
        <v>585.77537326990227</v>
      </c>
      <c r="AF50" s="412">
        <v>592.43021424883375</v>
      </c>
      <c r="AG50" s="412">
        <v>598.8988676293618</v>
      </c>
      <c r="AH50" s="412">
        <v>605.1694979789246</v>
      </c>
      <c r="AI50" s="412">
        <v>611.23016512770062</v>
      </c>
      <c r="AJ50" s="412">
        <v>617.06922170714654</v>
      </c>
      <c r="AK50" s="412">
        <v>622.67453113638658</v>
      </c>
      <c r="AL50" s="412">
        <v>628.03608491957152</v>
      </c>
      <c r="AM50" s="412">
        <v>633.15200331847348</v>
      </c>
      <c r="AN50" s="412">
        <v>636.46182368214454</v>
      </c>
    </row>
    <row r="51" spans="1:40" ht="15">
      <c r="A51" s="408" t="s">
        <v>489</v>
      </c>
      <c r="B51" s="922"/>
      <c r="C51" s="922"/>
      <c r="D51" s="921"/>
      <c r="E51" s="167">
        <f>SUM(F51:AN51)</f>
        <v>15072.847776865088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478.260475729512</v>
      </c>
      <c r="O51" s="59">
        <v>482.04919296551799</v>
      </c>
      <c r="P51" s="59">
        <v>488.35009619596798</v>
      </c>
      <c r="Q51" s="59">
        <v>494.64045440065729</v>
      </c>
      <c r="R51" s="59">
        <v>500.89330722238634</v>
      </c>
      <c r="S51" s="59">
        <v>507.08650855819087</v>
      </c>
      <c r="T51" s="59">
        <v>513.20094103595511</v>
      </c>
      <c r="U51" s="59">
        <v>519.21907095135202</v>
      </c>
      <c r="V51" s="59">
        <v>525.13337794945039</v>
      </c>
      <c r="W51" s="59">
        <v>530.94703314515186</v>
      </c>
      <c r="X51" s="59">
        <v>536.66494530772093</v>
      </c>
      <c r="Y51" s="59">
        <v>542.37462826669639</v>
      </c>
      <c r="Z51" s="59">
        <v>549.99455146298601</v>
      </c>
      <c r="AA51" s="59">
        <v>557.46481235513966</v>
      </c>
      <c r="AB51" s="59">
        <v>564.78273306869175</v>
      </c>
      <c r="AC51" s="59">
        <v>571.94405529662095</v>
      </c>
      <c r="AD51" s="59">
        <v>578.94380993464677</v>
      </c>
      <c r="AE51" s="59">
        <v>585.77537326990227</v>
      </c>
      <c r="AF51" s="59">
        <v>592.43021424883375</v>
      </c>
      <c r="AG51" s="59">
        <v>598.8988676293618</v>
      </c>
      <c r="AH51" s="59">
        <v>605.1694979789246</v>
      </c>
      <c r="AI51" s="59">
        <v>611.23016512770062</v>
      </c>
      <c r="AJ51" s="59">
        <v>617.06922170714654</v>
      </c>
      <c r="AK51" s="59">
        <v>622.67453113638658</v>
      </c>
      <c r="AL51" s="59">
        <v>628.03608491957152</v>
      </c>
      <c r="AM51" s="59">
        <v>633.15200331847348</v>
      </c>
      <c r="AN51" s="59">
        <v>636.46182368214454</v>
      </c>
    </row>
    <row r="52" spans="1:40" ht="15">
      <c r="A52" s="408" t="s">
        <v>611</v>
      </c>
      <c r="B52" s="922"/>
      <c r="C52" s="922"/>
      <c r="D52" s="921"/>
      <c r="E52" s="167">
        <f>SUM(F52:AN52)</f>
        <v>13129.547557573434</v>
      </c>
      <c r="F52" s="605">
        <v>0</v>
      </c>
      <c r="G52" s="605">
        <v>0</v>
      </c>
      <c r="H52" s="605">
        <v>0</v>
      </c>
      <c r="I52" s="605">
        <v>0</v>
      </c>
      <c r="J52" s="605">
        <v>0</v>
      </c>
      <c r="K52" s="605">
        <v>0</v>
      </c>
      <c r="L52" s="605">
        <v>0</v>
      </c>
      <c r="M52" s="605">
        <v>0</v>
      </c>
      <c r="N52" s="605">
        <v>0</v>
      </c>
      <c r="O52" s="605">
        <v>0</v>
      </c>
      <c r="P52" s="605">
        <v>0</v>
      </c>
      <c r="Q52" s="605">
        <v>0</v>
      </c>
      <c r="R52" s="605">
        <f>R51</f>
        <v>500.89330722238634</v>
      </c>
      <c r="S52" s="605">
        <f>S51</f>
        <v>507.08650855819087</v>
      </c>
      <c r="T52" s="605">
        <f>T51</f>
        <v>513.20094103595511</v>
      </c>
      <c r="U52" s="605">
        <f t="shared" ref="U52:AN52" si="13">U51</f>
        <v>519.21907095135202</v>
      </c>
      <c r="V52" s="605">
        <f t="shared" si="13"/>
        <v>525.13337794945039</v>
      </c>
      <c r="W52" s="605">
        <f t="shared" si="13"/>
        <v>530.94703314515186</v>
      </c>
      <c r="X52" s="605">
        <f t="shared" si="13"/>
        <v>536.66494530772093</v>
      </c>
      <c r="Y52" s="605">
        <f t="shared" si="13"/>
        <v>542.37462826669639</v>
      </c>
      <c r="Z52" s="605">
        <f t="shared" si="13"/>
        <v>549.99455146298601</v>
      </c>
      <c r="AA52" s="605">
        <f t="shared" si="13"/>
        <v>557.46481235513966</v>
      </c>
      <c r="AB52" s="605">
        <f t="shared" si="13"/>
        <v>564.78273306869175</v>
      </c>
      <c r="AC52" s="605">
        <f t="shared" si="13"/>
        <v>571.94405529662095</v>
      </c>
      <c r="AD52" s="605">
        <f t="shared" si="13"/>
        <v>578.94380993464677</v>
      </c>
      <c r="AE52" s="605">
        <f t="shared" si="13"/>
        <v>585.77537326990227</v>
      </c>
      <c r="AF52" s="605">
        <f t="shared" si="13"/>
        <v>592.43021424883375</v>
      </c>
      <c r="AG52" s="605">
        <f t="shared" si="13"/>
        <v>598.8988676293618</v>
      </c>
      <c r="AH52" s="605">
        <f t="shared" si="13"/>
        <v>605.1694979789246</v>
      </c>
      <c r="AI52" s="605">
        <f t="shared" si="13"/>
        <v>611.23016512770062</v>
      </c>
      <c r="AJ52" s="605">
        <f t="shared" si="13"/>
        <v>617.06922170714654</v>
      </c>
      <c r="AK52" s="605">
        <f t="shared" si="13"/>
        <v>622.67453113638658</v>
      </c>
      <c r="AL52" s="605">
        <f t="shared" si="13"/>
        <v>628.03608491957152</v>
      </c>
      <c r="AM52" s="605">
        <f t="shared" si="13"/>
        <v>633.15200331847348</v>
      </c>
      <c r="AN52" s="605">
        <f t="shared" si="13"/>
        <v>636.46182368214454</v>
      </c>
    </row>
    <row r="53" spans="1:40" ht="15">
      <c r="A53" s="408" t="s">
        <v>682</v>
      </c>
      <c r="B53" s="922"/>
      <c r="C53" s="922"/>
      <c r="D53" s="921"/>
      <c r="E53" s="167">
        <f>SUM(F53:AN53)</f>
        <v>11608.366800756901</v>
      </c>
      <c r="F53" s="605">
        <v>0</v>
      </c>
      <c r="G53" s="605">
        <v>0</v>
      </c>
      <c r="H53" s="605">
        <v>0</v>
      </c>
      <c r="I53" s="605">
        <v>0</v>
      </c>
      <c r="J53" s="605">
        <v>0</v>
      </c>
      <c r="K53" s="605">
        <v>0</v>
      </c>
      <c r="L53" s="605">
        <v>0</v>
      </c>
      <c r="M53" s="605">
        <v>0</v>
      </c>
      <c r="N53" s="605">
        <v>0</v>
      </c>
      <c r="O53" s="605">
        <v>0</v>
      </c>
      <c r="P53" s="605">
        <v>0</v>
      </c>
      <c r="Q53" s="605">
        <v>0</v>
      </c>
      <c r="R53" s="605">
        <v>0</v>
      </c>
      <c r="S53" s="605">
        <v>0</v>
      </c>
      <c r="T53" s="605">
        <v>0</v>
      </c>
      <c r="U53" s="605">
        <f>U52</f>
        <v>519.21907095135202</v>
      </c>
      <c r="V53" s="605">
        <f>V52</f>
        <v>525.13337794945039</v>
      </c>
      <c r="W53" s="605">
        <f>W52</f>
        <v>530.94703314515186</v>
      </c>
      <c r="X53" s="605">
        <f t="shared" ref="X53:AN53" si="14">X52</f>
        <v>536.66494530772093</v>
      </c>
      <c r="Y53" s="605">
        <f t="shared" si="14"/>
        <v>542.37462826669639</v>
      </c>
      <c r="Z53" s="605">
        <f t="shared" si="14"/>
        <v>549.99455146298601</v>
      </c>
      <c r="AA53" s="605">
        <f t="shared" si="14"/>
        <v>557.46481235513966</v>
      </c>
      <c r="AB53" s="605">
        <f t="shared" si="14"/>
        <v>564.78273306869175</v>
      </c>
      <c r="AC53" s="605">
        <f t="shared" si="14"/>
        <v>571.94405529662095</v>
      </c>
      <c r="AD53" s="605">
        <f t="shared" si="14"/>
        <v>578.94380993464677</v>
      </c>
      <c r="AE53" s="605">
        <f t="shared" si="14"/>
        <v>585.77537326990227</v>
      </c>
      <c r="AF53" s="605">
        <f t="shared" si="14"/>
        <v>592.43021424883375</v>
      </c>
      <c r="AG53" s="605">
        <f t="shared" si="14"/>
        <v>598.8988676293618</v>
      </c>
      <c r="AH53" s="605">
        <f t="shared" si="14"/>
        <v>605.1694979789246</v>
      </c>
      <c r="AI53" s="605">
        <f t="shared" si="14"/>
        <v>611.23016512770062</v>
      </c>
      <c r="AJ53" s="605">
        <f t="shared" si="14"/>
        <v>617.06922170714654</v>
      </c>
      <c r="AK53" s="605">
        <f t="shared" si="14"/>
        <v>622.67453113638658</v>
      </c>
      <c r="AL53" s="605">
        <f t="shared" si="14"/>
        <v>628.03608491957152</v>
      </c>
      <c r="AM53" s="605">
        <f t="shared" si="14"/>
        <v>633.15200331847348</v>
      </c>
      <c r="AN53" s="605">
        <f t="shared" si="14"/>
        <v>636.46182368214454</v>
      </c>
    </row>
    <row r="54" spans="1:40" s="445" customFormat="1" ht="15">
      <c r="A54" s="442"/>
      <c r="B54" s="599"/>
      <c r="C54" s="599"/>
      <c r="D54" s="443"/>
      <c r="E54" s="444"/>
      <c r="F54" s="444"/>
      <c r="G54" s="444"/>
      <c r="H54" s="444"/>
      <c r="I54" s="444"/>
      <c r="J54" s="444"/>
      <c r="K54" s="444"/>
      <c r="L54" s="444"/>
      <c r="M54" s="444"/>
      <c r="N54" s="444"/>
      <c r="O54" s="444"/>
      <c r="P54" s="444"/>
      <c r="Q54" s="444"/>
      <c r="R54" s="444"/>
      <c r="S54" s="444"/>
      <c r="T54" s="444"/>
      <c r="U54" s="444"/>
      <c r="V54" s="444"/>
      <c r="W54" s="444"/>
      <c r="X54" s="444"/>
      <c r="Y54" s="444"/>
      <c r="Z54" s="444"/>
      <c r="AA54" s="444"/>
      <c r="AB54" s="444"/>
      <c r="AC54" s="444"/>
      <c r="AD54" s="444"/>
      <c r="AE54" s="444"/>
      <c r="AF54" s="444"/>
      <c r="AG54" s="444"/>
      <c r="AH54" s="444"/>
      <c r="AI54" s="444"/>
      <c r="AJ54" s="444"/>
      <c r="AK54" s="444"/>
      <c r="AL54" s="444"/>
      <c r="AM54" s="444"/>
      <c r="AN54" s="444"/>
    </row>
    <row r="55" spans="1:40" ht="15">
      <c r="A55" s="408" t="s">
        <v>488</v>
      </c>
      <c r="B55" s="922" t="s">
        <v>600</v>
      </c>
      <c r="C55" s="922" t="s">
        <v>261</v>
      </c>
      <c r="D55" s="921" t="s">
        <v>9</v>
      </c>
      <c r="E55" s="411">
        <f>SUM(F55:AN55)</f>
        <v>565.96296617357098</v>
      </c>
      <c r="F55" s="412">
        <v>0</v>
      </c>
      <c r="G55" s="412">
        <v>0</v>
      </c>
      <c r="H55" s="412">
        <v>0</v>
      </c>
      <c r="I55" s="412">
        <v>0</v>
      </c>
      <c r="J55" s="412">
        <v>15.456557922008599</v>
      </c>
      <c r="K55" s="412">
        <v>15.5941884350152</v>
      </c>
      <c r="L55" s="412">
        <v>15.7200115703896</v>
      </c>
      <c r="M55" s="412">
        <v>15.845027877316999</v>
      </c>
      <c r="N55" s="412">
        <v>15.971173165418799</v>
      </c>
      <c r="O55" s="412">
        <v>16.097694720349207</v>
      </c>
      <c r="P55" s="412">
        <v>16.308108964676155</v>
      </c>
      <c r="Q55" s="412">
        <v>16.51817106526341</v>
      </c>
      <c r="R55" s="412">
        <v>16.726980699890614</v>
      </c>
      <c r="S55" s="412">
        <v>16.933798314981143</v>
      </c>
      <c r="T55" s="412">
        <v>17.137985499300889</v>
      </c>
      <c r="U55" s="412">
        <v>17.338956727090892</v>
      </c>
      <c r="V55" s="412">
        <v>17.536460861372525</v>
      </c>
      <c r="W55" s="412">
        <v>17.730603799303896</v>
      </c>
      <c r="X55" s="412">
        <v>17.921549465791909</v>
      </c>
      <c r="Y55" s="412">
        <v>18.112220323797352</v>
      </c>
      <c r="Z55" s="412">
        <v>18.366682314806539</v>
      </c>
      <c r="AA55" s="412">
        <v>18.616146438132755</v>
      </c>
      <c r="AB55" s="412">
        <v>18.860523268036317</v>
      </c>
      <c r="AC55" s="412">
        <v>19.099670601340748</v>
      </c>
      <c r="AD55" s="412">
        <v>19.333422498293608</v>
      </c>
      <c r="AE55" s="412">
        <v>19.561557764649173</v>
      </c>
      <c r="AF55" s="412">
        <v>19.783791511857153</v>
      </c>
      <c r="AG55" s="412">
        <v>19.999807654796626</v>
      </c>
      <c r="AH55" s="412">
        <v>20.209210957497806</v>
      </c>
      <c r="AI55" s="412">
        <v>20.411602686363587</v>
      </c>
      <c r="AJ55" s="412">
        <v>20.606593885690188</v>
      </c>
      <c r="AK55" s="412">
        <v>20.793779262871087</v>
      </c>
      <c r="AL55" s="412">
        <v>20.972824591206738</v>
      </c>
      <c r="AM55" s="412">
        <v>21.143667098157337</v>
      </c>
      <c r="AN55" s="412">
        <v>21.254196227904021</v>
      </c>
    </row>
    <row r="56" spans="1:40" ht="15">
      <c r="A56" s="408" t="s">
        <v>489</v>
      </c>
      <c r="B56" s="922"/>
      <c r="C56" s="922"/>
      <c r="D56" s="921"/>
      <c r="E56" s="167">
        <f>SUM(F56:AN56)</f>
        <v>503.34718036884055</v>
      </c>
      <c r="F56" s="59">
        <v>0</v>
      </c>
      <c r="G56" s="59">
        <v>0</v>
      </c>
      <c r="H56" s="59">
        <v>0</v>
      </c>
      <c r="I56" s="59">
        <v>0</v>
      </c>
      <c r="J56" s="59"/>
      <c r="K56" s="59"/>
      <c r="L56" s="59"/>
      <c r="M56" s="59">
        <v>0</v>
      </c>
      <c r="N56" s="59">
        <v>15.971173165418799</v>
      </c>
      <c r="O56" s="59">
        <v>16.097694720349207</v>
      </c>
      <c r="P56" s="59">
        <v>16.308108964676155</v>
      </c>
      <c r="Q56" s="59">
        <v>16.51817106526341</v>
      </c>
      <c r="R56" s="59">
        <v>16.726980699890614</v>
      </c>
      <c r="S56" s="59">
        <v>16.933798314981143</v>
      </c>
      <c r="T56" s="59">
        <v>17.137985499300889</v>
      </c>
      <c r="U56" s="59">
        <v>17.338956727090892</v>
      </c>
      <c r="V56" s="59">
        <v>17.536460861372525</v>
      </c>
      <c r="W56" s="59">
        <v>17.730603799303896</v>
      </c>
      <c r="X56" s="59">
        <v>17.921549465791909</v>
      </c>
      <c r="Y56" s="59">
        <v>18.112220323797352</v>
      </c>
      <c r="Z56" s="59">
        <v>18.366682314806539</v>
      </c>
      <c r="AA56" s="59">
        <v>18.616146438132755</v>
      </c>
      <c r="AB56" s="59">
        <v>18.860523268036317</v>
      </c>
      <c r="AC56" s="59">
        <v>19.099670601340748</v>
      </c>
      <c r="AD56" s="59">
        <v>19.333422498293608</v>
      </c>
      <c r="AE56" s="59">
        <v>19.561557764649173</v>
      </c>
      <c r="AF56" s="59">
        <v>19.783791511857153</v>
      </c>
      <c r="AG56" s="59">
        <v>19.999807654796626</v>
      </c>
      <c r="AH56" s="59">
        <v>20.209210957497806</v>
      </c>
      <c r="AI56" s="59">
        <v>20.411602686363587</v>
      </c>
      <c r="AJ56" s="59">
        <v>20.606593885690188</v>
      </c>
      <c r="AK56" s="59">
        <v>20.793779262871087</v>
      </c>
      <c r="AL56" s="59">
        <v>20.972824591206738</v>
      </c>
      <c r="AM56" s="59">
        <v>21.143667098157337</v>
      </c>
      <c r="AN56" s="59">
        <v>21.254196227904021</v>
      </c>
    </row>
    <row r="57" spans="1:40" ht="15">
      <c r="A57" s="408" t="s">
        <v>611</v>
      </c>
      <c r="B57" s="922"/>
      <c r="C57" s="922"/>
      <c r="D57" s="921"/>
      <c r="E57" s="167">
        <f>SUM(F57:AN57)</f>
        <v>438.45203245313292</v>
      </c>
      <c r="F57" s="605">
        <v>0</v>
      </c>
      <c r="G57" s="605">
        <v>0</v>
      </c>
      <c r="H57" s="605">
        <v>0</v>
      </c>
      <c r="I57" s="605">
        <v>0</v>
      </c>
      <c r="J57" s="605">
        <v>0</v>
      </c>
      <c r="K57" s="605">
        <v>0</v>
      </c>
      <c r="L57" s="605">
        <v>0</v>
      </c>
      <c r="M57" s="605">
        <v>0</v>
      </c>
      <c r="N57" s="605">
        <v>0</v>
      </c>
      <c r="O57" s="605">
        <v>0</v>
      </c>
      <c r="P57" s="605">
        <v>0</v>
      </c>
      <c r="Q57" s="605">
        <v>0</v>
      </c>
      <c r="R57" s="605">
        <f>R56</f>
        <v>16.726980699890614</v>
      </c>
      <c r="S57" s="605">
        <f>S56</f>
        <v>16.933798314981143</v>
      </c>
      <c r="T57" s="605">
        <f t="shared" ref="T57:AN57" si="15">T56</f>
        <v>17.137985499300889</v>
      </c>
      <c r="U57" s="605">
        <f t="shared" si="15"/>
        <v>17.338956727090892</v>
      </c>
      <c r="V57" s="605">
        <f t="shared" si="15"/>
        <v>17.536460861372525</v>
      </c>
      <c r="W57" s="605">
        <f t="shared" si="15"/>
        <v>17.730603799303896</v>
      </c>
      <c r="X57" s="605">
        <f t="shared" si="15"/>
        <v>17.921549465791909</v>
      </c>
      <c r="Y57" s="605">
        <f t="shared" si="15"/>
        <v>18.112220323797352</v>
      </c>
      <c r="Z57" s="605">
        <f t="shared" si="15"/>
        <v>18.366682314806539</v>
      </c>
      <c r="AA57" s="605">
        <f t="shared" si="15"/>
        <v>18.616146438132755</v>
      </c>
      <c r="AB57" s="605">
        <f t="shared" si="15"/>
        <v>18.860523268036317</v>
      </c>
      <c r="AC57" s="605">
        <f t="shared" si="15"/>
        <v>19.099670601340748</v>
      </c>
      <c r="AD57" s="605">
        <f t="shared" si="15"/>
        <v>19.333422498293608</v>
      </c>
      <c r="AE57" s="605">
        <f t="shared" si="15"/>
        <v>19.561557764649173</v>
      </c>
      <c r="AF57" s="605">
        <f t="shared" si="15"/>
        <v>19.783791511857153</v>
      </c>
      <c r="AG57" s="605">
        <f t="shared" si="15"/>
        <v>19.999807654796626</v>
      </c>
      <c r="AH57" s="605">
        <f t="shared" si="15"/>
        <v>20.209210957497806</v>
      </c>
      <c r="AI57" s="605">
        <f t="shared" si="15"/>
        <v>20.411602686363587</v>
      </c>
      <c r="AJ57" s="605">
        <f t="shared" si="15"/>
        <v>20.606593885690188</v>
      </c>
      <c r="AK57" s="605">
        <f t="shared" si="15"/>
        <v>20.793779262871087</v>
      </c>
      <c r="AL57" s="605">
        <f t="shared" si="15"/>
        <v>20.972824591206738</v>
      </c>
      <c r="AM57" s="605">
        <f t="shared" si="15"/>
        <v>21.143667098157337</v>
      </c>
      <c r="AN57" s="605">
        <f t="shared" si="15"/>
        <v>21.254196227904021</v>
      </c>
    </row>
    <row r="58" spans="1:40" ht="15">
      <c r="A58" s="408" t="s">
        <v>682</v>
      </c>
      <c r="B58" s="922"/>
      <c r="C58" s="922"/>
      <c r="D58" s="921"/>
      <c r="E58" s="167">
        <f>SUM(F58:AN58)</f>
        <v>387.65326793896025</v>
      </c>
      <c r="F58" s="605">
        <v>0</v>
      </c>
      <c r="G58" s="605">
        <v>0</v>
      </c>
      <c r="H58" s="605">
        <v>0</v>
      </c>
      <c r="I58" s="605">
        <v>0</v>
      </c>
      <c r="J58" s="605">
        <v>0</v>
      </c>
      <c r="K58" s="605">
        <v>0</v>
      </c>
      <c r="L58" s="605">
        <v>0</v>
      </c>
      <c r="M58" s="605">
        <v>0</v>
      </c>
      <c r="N58" s="605">
        <v>0</v>
      </c>
      <c r="O58" s="605">
        <v>0</v>
      </c>
      <c r="P58" s="605">
        <v>0</v>
      </c>
      <c r="Q58" s="605">
        <v>0</v>
      </c>
      <c r="R58" s="605">
        <v>0</v>
      </c>
      <c r="S58" s="605">
        <v>0</v>
      </c>
      <c r="T58" s="605">
        <v>0</v>
      </c>
      <c r="U58" s="605">
        <f>U57</f>
        <v>17.338956727090892</v>
      </c>
      <c r="V58" s="605">
        <f>V57</f>
        <v>17.536460861372525</v>
      </c>
      <c r="W58" s="605">
        <f>W57</f>
        <v>17.730603799303896</v>
      </c>
      <c r="X58" s="605">
        <f t="shared" ref="X58:AN58" si="16">X57</f>
        <v>17.921549465791909</v>
      </c>
      <c r="Y58" s="605">
        <f t="shared" si="16"/>
        <v>18.112220323797352</v>
      </c>
      <c r="Z58" s="605">
        <f t="shared" si="16"/>
        <v>18.366682314806539</v>
      </c>
      <c r="AA58" s="605">
        <f t="shared" si="16"/>
        <v>18.616146438132755</v>
      </c>
      <c r="AB58" s="605">
        <f t="shared" si="16"/>
        <v>18.860523268036317</v>
      </c>
      <c r="AC58" s="605">
        <f t="shared" si="16"/>
        <v>19.099670601340748</v>
      </c>
      <c r="AD58" s="605">
        <f t="shared" si="16"/>
        <v>19.333422498293608</v>
      </c>
      <c r="AE58" s="605">
        <f t="shared" si="16"/>
        <v>19.561557764649173</v>
      </c>
      <c r="AF58" s="605">
        <f t="shared" si="16"/>
        <v>19.783791511857153</v>
      </c>
      <c r="AG58" s="605">
        <f t="shared" si="16"/>
        <v>19.999807654796626</v>
      </c>
      <c r="AH58" s="605">
        <f t="shared" si="16"/>
        <v>20.209210957497806</v>
      </c>
      <c r="AI58" s="605">
        <f t="shared" si="16"/>
        <v>20.411602686363587</v>
      </c>
      <c r="AJ58" s="605">
        <f t="shared" si="16"/>
        <v>20.606593885690188</v>
      </c>
      <c r="AK58" s="605">
        <f t="shared" si="16"/>
        <v>20.793779262871087</v>
      </c>
      <c r="AL58" s="605">
        <f t="shared" si="16"/>
        <v>20.972824591206738</v>
      </c>
      <c r="AM58" s="605">
        <f t="shared" si="16"/>
        <v>21.143667098157337</v>
      </c>
      <c r="AN58" s="605">
        <f t="shared" si="16"/>
        <v>21.254196227904021</v>
      </c>
    </row>
    <row r="59" spans="1:40">
      <c r="B59" s="23"/>
      <c r="E59" s="441"/>
    </row>
    <row r="60" spans="1:40" s="420" customFormat="1" ht="15">
      <c r="A60" s="419" t="s">
        <v>496</v>
      </c>
      <c r="B60" s="598"/>
      <c r="C60" s="598"/>
    </row>
    <row r="61" spans="1:40" ht="15">
      <c r="A61" s="408" t="s">
        <v>488</v>
      </c>
      <c r="B61" s="929" t="s">
        <v>600</v>
      </c>
      <c r="C61" s="929" t="s">
        <v>607</v>
      </c>
      <c r="D61" s="920" t="s">
        <v>497</v>
      </c>
      <c r="E61" s="411">
        <f>SUM(F61:AN61)</f>
        <v>27537.023232075604</v>
      </c>
      <c r="F61" s="412">
        <v>0</v>
      </c>
      <c r="G61" s="412">
        <v>0</v>
      </c>
      <c r="H61" s="412">
        <v>0</v>
      </c>
      <c r="I61" s="412">
        <v>0</v>
      </c>
      <c r="J61" s="412">
        <v>302.60465090192952</v>
      </c>
      <c r="K61" s="412">
        <v>907.81395270578855</v>
      </c>
      <c r="L61" s="412">
        <v>907.81395270578855</v>
      </c>
      <c r="M61" s="412">
        <v>907.81395270578855</v>
      </c>
      <c r="N61" s="412">
        <v>907.81395270578855</v>
      </c>
      <c r="O61" s="412">
        <v>907.81395270578855</v>
      </c>
      <c r="P61" s="412">
        <v>907.81395270578855</v>
      </c>
      <c r="Q61" s="412">
        <v>907.81395270578855</v>
      </c>
      <c r="R61" s="412">
        <v>907.81395270578855</v>
      </c>
      <c r="S61" s="412">
        <v>907.81395270578855</v>
      </c>
      <c r="T61" s="412">
        <v>907.81395270578855</v>
      </c>
      <c r="U61" s="412">
        <v>907.81395270578855</v>
      </c>
      <c r="V61" s="412">
        <v>907.81395270578855</v>
      </c>
      <c r="W61" s="412">
        <v>907.81395270578855</v>
      </c>
      <c r="X61" s="412">
        <v>907.81395270578855</v>
      </c>
      <c r="Y61" s="412">
        <v>907.81395270578855</v>
      </c>
      <c r="Z61" s="412">
        <v>907.81395270578855</v>
      </c>
      <c r="AA61" s="412">
        <v>907.81395270578855</v>
      </c>
      <c r="AB61" s="412">
        <v>907.81395270578855</v>
      </c>
      <c r="AC61" s="412">
        <v>907.81395270578855</v>
      </c>
      <c r="AD61" s="412">
        <v>907.81395270578855</v>
      </c>
      <c r="AE61" s="412">
        <v>907.81395270578855</v>
      </c>
      <c r="AF61" s="412">
        <v>907.81395270578855</v>
      </c>
      <c r="AG61" s="412">
        <v>907.81395270578855</v>
      </c>
      <c r="AH61" s="412">
        <v>907.81395270578855</v>
      </c>
      <c r="AI61" s="412">
        <v>907.81395270578855</v>
      </c>
      <c r="AJ61" s="412">
        <v>907.81395270578855</v>
      </c>
      <c r="AK61" s="412">
        <v>907.81395270578855</v>
      </c>
      <c r="AL61" s="412">
        <v>907.81395270578855</v>
      </c>
      <c r="AM61" s="412">
        <v>907.81395270578855</v>
      </c>
      <c r="AN61" s="412">
        <v>907.81395270578855</v>
      </c>
    </row>
    <row r="62" spans="1:40" ht="15">
      <c r="A62" s="408" t="s">
        <v>489</v>
      </c>
      <c r="B62" s="930"/>
      <c r="C62" s="930"/>
      <c r="D62" s="920"/>
      <c r="E62" s="167">
        <f>SUM(F62:AN62)</f>
        <v>22213.140749360849</v>
      </c>
      <c r="F62" s="59"/>
      <c r="G62" s="59"/>
      <c r="H62" s="59"/>
      <c r="I62" s="59"/>
      <c r="J62" s="59"/>
      <c r="K62" s="59">
        <f>IF('Painel de Controle'!$D$33="Sim",IF('Painel de Controle'!$D$32&lt;QDD!I3,'Painel de Controle'!$D$29,IF('Painel de Controle'!$D$32=QDD!I3,'Painel de Controle'!$D$29/12*'Painel de Controle'!D31,0)),0)</f>
        <v>252.42205397000956</v>
      </c>
      <c r="L62" s="59">
        <f>IF('Painel de Controle'!$D$33="Sim",'Painel de Controle'!$D$29,0)</f>
        <v>757.2661619100287</v>
      </c>
      <c r="M62" s="59">
        <f>IF('Painel de Controle'!$D$33="Sim",'Painel de Controle'!$D$29,0)</f>
        <v>757.2661619100287</v>
      </c>
      <c r="N62" s="59">
        <f>IF('Painel de Controle'!$D$33="Sim",'Painel de Controle'!$D$29,0)</f>
        <v>757.2661619100287</v>
      </c>
      <c r="O62" s="59">
        <f>IF('Painel de Controle'!$D$33="Sim",'Painel de Controle'!$D$29,0)</f>
        <v>757.2661619100287</v>
      </c>
      <c r="P62" s="59">
        <f>IF('Painel de Controle'!$D$33="Sim",'Painel de Controle'!$D$29,0)</f>
        <v>757.2661619100287</v>
      </c>
      <c r="Q62" s="59">
        <f>IF('Painel de Controle'!$D$33="Sim",'Painel de Controle'!$D$29,0)</f>
        <v>757.2661619100287</v>
      </c>
      <c r="R62" s="59">
        <f>IF('Painel de Controle'!$D$33="Sim",'Painel de Controle'!$D$29,0)</f>
        <v>757.2661619100287</v>
      </c>
      <c r="S62" s="59">
        <f>IF('Painel de Controle'!$D$33="Sim",'Painel de Controle'!$D$29,0)</f>
        <v>757.2661619100287</v>
      </c>
      <c r="T62" s="59">
        <f>IF('Painel de Controle'!$D$33="Sim",'Painel de Controle'!$D$29,0)</f>
        <v>757.2661619100287</v>
      </c>
      <c r="U62" s="59">
        <f>IF('Painel de Controle'!$D$33="Sim",'Painel de Controle'!$D$29,0)</f>
        <v>757.2661619100287</v>
      </c>
      <c r="V62" s="59">
        <f>IF('Painel de Controle'!$D$33="Sim",'Painel de Controle'!$D$29,0)</f>
        <v>757.2661619100287</v>
      </c>
      <c r="W62" s="59">
        <f>IF('Painel de Controle'!$D$33="Sim",'Painel de Controle'!$D$29,0)</f>
        <v>757.2661619100287</v>
      </c>
      <c r="X62" s="59">
        <f>IF('Painel de Controle'!$D$33="Sim",'Painel de Controle'!$D$29,0)</f>
        <v>757.2661619100287</v>
      </c>
      <c r="Y62" s="59">
        <f>IF('Painel de Controle'!$D$33="Sim",'Painel de Controle'!$D$29,0)</f>
        <v>757.2661619100287</v>
      </c>
      <c r="Z62" s="59">
        <f>IF('Painel de Controle'!$D$33="Sim",'Painel de Controle'!$D$29,0)</f>
        <v>757.2661619100287</v>
      </c>
      <c r="AA62" s="59">
        <f>IF('Painel de Controle'!$D$33="Sim",'Painel de Controle'!$D$29,0)</f>
        <v>757.2661619100287</v>
      </c>
      <c r="AB62" s="59">
        <f>IF('Painel de Controle'!$D$33="Sim",'Painel de Controle'!$D$29,0)</f>
        <v>757.2661619100287</v>
      </c>
      <c r="AC62" s="59">
        <f>IF('Painel de Controle'!$D$33="Sim",'Painel de Controle'!$D$29,0)</f>
        <v>757.2661619100287</v>
      </c>
      <c r="AD62" s="59">
        <f>IF('Painel de Controle'!$D$33="Sim",'Painel de Controle'!$D$29,0)</f>
        <v>757.2661619100287</v>
      </c>
      <c r="AE62" s="59">
        <f>IF('Painel de Controle'!$D$33="Sim",'Painel de Controle'!$D$29,0)</f>
        <v>757.2661619100287</v>
      </c>
      <c r="AF62" s="59">
        <f>IF('Painel de Controle'!$D$33="Sim",'Painel de Controle'!$D$29,0)</f>
        <v>757.2661619100287</v>
      </c>
      <c r="AG62" s="59">
        <f>IF('Painel de Controle'!$D$33="Sim",'Painel de Controle'!$D$29,0)</f>
        <v>757.2661619100287</v>
      </c>
      <c r="AH62" s="59">
        <f>IF('Painel de Controle'!$D$33="Sim",'Painel de Controle'!$D$29,0)</f>
        <v>757.2661619100287</v>
      </c>
      <c r="AI62" s="59">
        <f>IF('Painel de Controle'!$D$33="Sim",'Painel de Controle'!$D$29,0)</f>
        <v>757.2661619100287</v>
      </c>
      <c r="AJ62" s="59">
        <f>IF('Painel de Controle'!$D$33="Sim",'Painel de Controle'!$D$29,0)</f>
        <v>757.2661619100287</v>
      </c>
      <c r="AK62" s="59">
        <f>IF('Painel de Controle'!$D$33="Sim",'Painel de Controle'!$D$29,0)</f>
        <v>757.2661619100287</v>
      </c>
      <c r="AL62" s="59">
        <f>IF('Painel de Controle'!$D$33="Sim",'Painel de Controle'!$D$29,0)</f>
        <v>757.2661619100287</v>
      </c>
      <c r="AM62" s="59">
        <f>IF('Painel de Controle'!$D$33="Sim",'Painel de Controle'!$D$29,0)</f>
        <v>757.2661619100287</v>
      </c>
      <c r="AN62" s="59">
        <f>IF('Painel de Controle'!$D$33="Sim",'Painel de Controle'!$D$29,0)</f>
        <v>757.2661619100287</v>
      </c>
    </row>
    <row r="63" spans="1:40">
      <c r="B63" s="23"/>
      <c r="K63" s="69"/>
    </row>
    <row r="64" spans="1:40" s="420" customFormat="1" ht="15">
      <c r="A64" s="419" t="s">
        <v>498</v>
      </c>
      <c r="B64" s="598"/>
      <c r="C64" s="598"/>
    </row>
    <row r="65" spans="1:40" ht="15">
      <c r="A65" s="408" t="s">
        <v>488</v>
      </c>
      <c r="B65" s="929" t="s">
        <v>601</v>
      </c>
      <c r="C65" s="929" t="s">
        <v>137</v>
      </c>
      <c r="D65" s="920" t="s">
        <v>634</v>
      </c>
      <c r="E65" s="411">
        <f>SUM(F65:AN65)</f>
        <v>20889.754300000001</v>
      </c>
      <c r="F65" s="412">
        <v>0</v>
      </c>
      <c r="G65" s="412">
        <v>0</v>
      </c>
      <c r="H65" s="412">
        <v>0</v>
      </c>
      <c r="I65" s="412">
        <v>0</v>
      </c>
      <c r="J65" s="412">
        <v>0</v>
      </c>
      <c r="K65" s="412">
        <v>0</v>
      </c>
      <c r="L65" s="412">
        <v>0</v>
      </c>
      <c r="M65" s="412">
        <v>20889.754300000001</v>
      </c>
      <c r="N65" s="412">
        <v>0</v>
      </c>
      <c r="O65" s="412">
        <v>0</v>
      </c>
      <c r="P65" s="412">
        <v>0</v>
      </c>
      <c r="Q65" s="412">
        <v>0</v>
      </c>
      <c r="R65" s="412">
        <v>0</v>
      </c>
      <c r="S65" s="412">
        <v>0</v>
      </c>
      <c r="T65" s="412">
        <v>0</v>
      </c>
      <c r="U65" s="412">
        <v>0</v>
      </c>
      <c r="V65" s="412">
        <v>0</v>
      </c>
      <c r="W65" s="412">
        <v>0</v>
      </c>
      <c r="X65" s="412">
        <v>0</v>
      </c>
      <c r="Y65" s="412">
        <v>0</v>
      </c>
      <c r="Z65" s="412">
        <v>0</v>
      </c>
      <c r="AA65" s="412">
        <v>0</v>
      </c>
      <c r="AB65" s="412">
        <v>0</v>
      </c>
      <c r="AC65" s="412">
        <v>0</v>
      </c>
      <c r="AD65" s="412">
        <v>0</v>
      </c>
      <c r="AE65" s="412">
        <v>0</v>
      </c>
      <c r="AF65" s="412">
        <v>0</v>
      </c>
      <c r="AG65" s="412">
        <v>0</v>
      </c>
      <c r="AH65" s="412">
        <v>0</v>
      </c>
      <c r="AI65" s="412">
        <v>0</v>
      </c>
      <c r="AJ65" s="412">
        <v>0</v>
      </c>
      <c r="AK65" s="412">
        <v>0</v>
      </c>
      <c r="AL65" s="412">
        <v>0</v>
      </c>
      <c r="AM65" s="412">
        <v>0</v>
      </c>
      <c r="AN65" s="412">
        <v>0</v>
      </c>
    </row>
    <row r="66" spans="1:40" ht="15">
      <c r="A66" s="408" t="s">
        <v>489</v>
      </c>
      <c r="B66" s="934"/>
      <c r="C66" s="934"/>
      <c r="D66" s="920"/>
      <c r="E66" s="167">
        <f>SUM(F66:AN66)</f>
        <v>20889.754300000001</v>
      </c>
      <c r="F66" s="59">
        <f>F65</f>
        <v>0</v>
      </c>
      <c r="G66" s="59">
        <f t="shared" ref="G66:R66" si="17">G65</f>
        <v>0</v>
      </c>
      <c r="H66" s="59">
        <f t="shared" si="17"/>
        <v>0</v>
      </c>
      <c r="I66" s="59">
        <f t="shared" si="17"/>
        <v>0</v>
      </c>
      <c r="J66" s="59">
        <f t="shared" si="17"/>
        <v>0</v>
      </c>
      <c r="K66" s="59">
        <f t="shared" si="17"/>
        <v>0</v>
      </c>
      <c r="L66" s="59">
        <f t="shared" si="17"/>
        <v>0</v>
      </c>
      <c r="M66" s="59">
        <v>0</v>
      </c>
      <c r="N66" s="59">
        <f t="shared" si="17"/>
        <v>0</v>
      </c>
      <c r="O66" s="59">
        <f t="shared" si="17"/>
        <v>0</v>
      </c>
      <c r="P66" s="59">
        <f t="shared" si="17"/>
        <v>0</v>
      </c>
      <c r="Q66" s="59">
        <f t="shared" si="17"/>
        <v>0</v>
      </c>
      <c r="R66" s="59">
        <f t="shared" si="17"/>
        <v>0</v>
      </c>
      <c r="S66" s="59">
        <f>M65</f>
        <v>20889.754300000001</v>
      </c>
      <c r="T66" s="59">
        <f>T65</f>
        <v>0</v>
      </c>
      <c r="U66" s="59">
        <f t="shared" ref="U66:AN67" si="18">U65</f>
        <v>0</v>
      </c>
      <c r="V66" s="59">
        <f t="shared" si="18"/>
        <v>0</v>
      </c>
      <c r="W66" s="59">
        <f t="shared" si="18"/>
        <v>0</v>
      </c>
      <c r="X66" s="59">
        <f t="shared" si="18"/>
        <v>0</v>
      </c>
      <c r="Y66" s="59">
        <f t="shared" si="18"/>
        <v>0</v>
      </c>
      <c r="Z66" s="59">
        <f t="shared" si="18"/>
        <v>0</v>
      </c>
      <c r="AA66" s="59">
        <f t="shared" si="18"/>
        <v>0</v>
      </c>
      <c r="AB66" s="59">
        <f t="shared" si="18"/>
        <v>0</v>
      </c>
      <c r="AC66" s="59">
        <f t="shared" si="18"/>
        <v>0</v>
      </c>
      <c r="AD66" s="59">
        <f t="shared" si="18"/>
        <v>0</v>
      </c>
      <c r="AE66" s="59">
        <f t="shared" si="18"/>
        <v>0</v>
      </c>
      <c r="AF66" s="59">
        <f t="shared" si="18"/>
        <v>0</v>
      </c>
      <c r="AG66" s="59">
        <f t="shared" si="18"/>
        <v>0</v>
      </c>
      <c r="AH66" s="59">
        <f t="shared" si="18"/>
        <v>0</v>
      </c>
      <c r="AI66" s="59">
        <f t="shared" si="18"/>
        <v>0</v>
      </c>
      <c r="AJ66" s="59">
        <f t="shared" si="18"/>
        <v>0</v>
      </c>
      <c r="AK66" s="59">
        <f t="shared" si="18"/>
        <v>0</v>
      </c>
      <c r="AL66" s="59">
        <f t="shared" si="18"/>
        <v>0</v>
      </c>
      <c r="AM66" s="59">
        <f t="shared" si="18"/>
        <v>0</v>
      </c>
      <c r="AN66" s="59">
        <f t="shared" si="18"/>
        <v>0</v>
      </c>
    </row>
    <row r="67" spans="1:40" ht="15">
      <c r="A67" s="408" t="s">
        <v>682</v>
      </c>
      <c r="B67" s="930"/>
      <c r="C67" s="930"/>
      <c r="D67" s="920"/>
      <c r="E67" s="167">
        <f>SUM(F67:AN67)</f>
        <v>20889.754300000001</v>
      </c>
      <c r="F67" s="59">
        <f>F65</f>
        <v>0</v>
      </c>
      <c r="G67" s="59">
        <f t="shared" ref="G67:R67" si="19">G65</f>
        <v>0</v>
      </c>
      <c r="H67" s="59">
        <f t="shared" si="19"/>
        <v>0</v>
      </c>
      <c r="I67" s="59">
        <f t="shared" si="19"/>
        <v>0</v>
      </c>
      <c r="J67" s="59">
        <f t="shared" si="19"/>
        <v>0</v>
      </c>
      <c r="K67" s="59">
        <f t="shared" si="19"/>
        <v>0</v>
      </c>
      <c r="L67" s="59">
        <f t="shared" si="19"/>
        <v>0</v>
      </c>
      <c r="M67" s="59">
        <v>0</v>
      </c>
      <c r="N67" s="59">
        <f t="shared" si="19"/>
        <v>0</v>
      </c>
      <c r="O67" s="59">
        <f t="shared" si="19"/>
        <v>0</v>
      </c>
      <c r="P67" s="59">
        <f t="shared" si="19"/>
        <v>0</v>
      </c>
      <c r="Q67" s="59">
        <f t="shared" si="19"/>
        <v>0</v>
      </c>
      <c r="R67" s="59">
        <f t="shared" si="19"/>
        <v>0</v>
      </c>
      <c r="S67" s="59">
        <v>0</v>
      </c>
      <c r="T67" s="59">
        <v>0</v>
      </c>
      <c r="U67" s="59">
        <f t="shared" si="18"/>
        <v>0</v>
      </c>
      <c r="V67" s="59">
        <f t="shared" si="18"/>
        <v>0</v>
      </c>
      <c r="W67" s="59">
        <f t="shared" si="18"/>
        <v>0</v>
      </c>
      <c r="X67" s="59">
        <f t="shared" si="18"/>
        <v>0</v>
      </c>
      <c r="Y67" s="59">
        <f t="shared" si="18"/>
        <v>0</v>
      </c>
      <c r="Z67" s="59">
        <f t="shared" si="18"/>
        <v>0</v>
      </c>
      <c r="AA67" s="59">
        <f t="shared" si="18"/>
        <v>0</v>
      </c>
      <c r="AB67" s="59">
        <f t="shared" si="18"/>
        <v>0</v>
      </c>
      <c r="AC67" s="59">
        <f t="shared" si="18"/>
        <v>0</v>
      </c>
      <c r="AD67" s="59">
        <f t="shared" si="18"/>
        <v>0</v>
      </c>
      <c r="AE67" s="59">
        <f t="shared" si="18"/>
        <v>0</v>
      </c>
      <c r="AF67" s="59">
        <f t="shared" si="18"/>
        <v>0</v>
      </c>
      <c r="AG67" s="59">
        <f t="shared" si="18"/>
        <v>0</v>
      </c>
      <c r="AH67" s="59">
        <v>0</v>
      </c>
      <c r="AI67" s="59">
        <f>S66</f>
        <v>20889.754300000001</v>
      </c>
      <c r="AJ67" s="59">
        <v>0</v>
      </c>
      <c r="AK67" s="59">
        <f t="shared" si="18"/>
        <v>0</v>
      </c>
      <c r="AL67" s="59">
        <f t="shared" si="18"/>
        <v>0</v>
      </c>
      <c r="AM67" s="59">
        <f t="shared" si="18"/>
        <v>0</v>
      </c>
      <c r="AN67" s="59">
        <f t="shared" si="18"/>
        <v>0</v>
      </c>
    </row>
    <row r="68" spans="1:40">
      <c r="B68" s="23"/>
      <c r="V68" s="69"/>
    </row>
    <row r="69" spans="1:40" s="420" customFormat="1" ht="15">
      <c r="A69" s="419" t="s">
        <v>500</v>
      </c>
      <c r="B69" s="598"/>
      <c r="C69" s="598"/>
    </row>
    <row r="70" spans="1:40" ht="15">
      <c r="A70" s="408" t="s">
        <v>488</v>
      </c>
      <c r="B70" s="929" t="s">
        <v>600</v>
      </c>
      <c r="C70" s="929" t="s">
        <v>607</v>
      </c>
      <c r="D70" s="920" t="s">
        <v>635</v>
      </c>
      <c r="E70" s="411">
        <f>SUM(F70:AN70)</f>
        <v>0</v>
      </c>
      <c r="F70" s="412">
        <v>0</v>
      </c>
      <c r="G70" s="412">
        <v>0</v>
      </c>
      <c r="H70" s="412">
        <v>0</v>
      </c>
      <c r="I70" s="412">
        <v>0</v>
      </c>
      <c r="J70" s="412">
        <v>0</v>
      </c>
      <c r="K70" s="412">
        <v>0</v>
      </c>
      <c r="L70" s="412">
        <v>0</v>
      </c>
      <c r="M70" s="412">
        <v>0</v>
      </c>
      <c r="N70" s="412">
        <v>0</v>
      </c>
      <c r="O70" s="412">
        <v>0</v>
      </c>
      <c r="P70" s="412">
        <v>0</v>
      </c>
      <c r="Q70" s="412">
        <v>0</v>
      </c>
      <c r="R70" s="412">
        <v>0</v>
      </c>
      <c r="S70" s="412">
        <v>0</v>
      </c>
      <c r="T70" s="412">
        <v>0</v>
      </c>
      <c r="U70" s="412">
        <v>0</v>
      </c>
      <c r="V70" s="412">
        <v>0</v>
      </c>
      <c r="W70" s="412">
        <v>0</v>
      </c>
      <c r="X70" s="412">
        <v>0</v>
      </c>
      <c r="Y70" s="412">
        <v>0</v>
      </c>
      <c r="Z70" s="412">
        <v>0</v>
      </c>
      <c r="AA70" s="412">
        <v>0</v>
      </c>
      <c r="AB70" s="412">
        <v>0</v>
      </c>
      <c r="AC70" s="412">
        <v>0</v>
      </c>
      <c r="AD70" s="412">
        <v>0</v>
      </c>
      <c r="AE70" s="412">
        <v>0</v>
      </c>
      <c r="AF70" s="412">
        <v>0</v>
      </c>
      <c r="AG70" s="412">
        <v>0</v>
      </c>
      <c r="AH70" s="412">
        <v>0</v>
      </c>
      <c r="AI70" s="412">
        <v>0</v>
      </c>
      <c r="AJ70" s="412">
        <v>0</v>
      </c>
      <c r="AK70" s="412">
        <v>0</v>
      </c>
      <c r="AL70" s="412">
        <v>0</v>
      </c>
      <c r="AM70" s="412">
        <v>0</v>
      </c>
      <c r="AN70" s="412">
        <v>0</v>
      </c>
    </row>
    <row r="71" spans="1:40" ht="15">
      <c r="A71" s="408" t="s">
        <v>489</v>
      </c>
      <c r="B71" s="930"/>
      <c r="C71" s="930"/>
      <c r="D71" s="920"/>
      <c r="E71" s="167">
        <f>SUM(F71:AN71)</f>
        <v>5746.71612257789</v>
      </c>
      <c r="F71" s="59"/>
      <c r="G71" s="59"/>
      <c r="H71" s="59"/>
      <c r="I71" s="59"/>
      <c r="J71" s="59"/>
      <c r="K71" s="59"/>
      <c r="L71" s="59">
        <f>IF('Painel de Controle'!D41="Sim",'Painel de Controle'!D40/12*8,0)</f>
        <v>133.64456099018352</v>
      </c>
      <c r="M71" s="59">
        <f>IF('Painel de Controle'!$D$41="Sim",'Painel de Controle'!$D$40,0)</f>
        <v>200.4668414852753</v>
      </c>
      <c r="N71" s="59">
        <f>M71</f>
        <v>200.4668414852753</v>
      </c>
      <c r="O71" s="59">
        <f t="shared" ref="O71:AN71" si="20">N71</f>
        <v>200.4668414852753</v>
      </c>
      <c r="P71" s="59">
        <f t="shared" si="20"/>
        <v>200.4668414852753</v>
      </c>
      <c r="Q71" s="59">
        <f t="shared" si="20"/>
        <v>200.4668414852753</v>
      </c>
      <c r="R71" s="59">
        <f t="shared" si="20"/>
        <v>200.4668414852753</v>
      </c>
      <c r="S71" s="59">
        <f t="shared" si="20"/>
        <v>200.4668414852753</v>
      </c>
      <c r="T71" s="59">
        <f t="shared" si="20"/>
        <v>200.4668414852753</v>
      </c>
      <c r="U71" s="59">
        <f t="shared" si="20"/>
        <v>200.4668414852753</v>
      </c>
      <c r="V71" s="59">
        <f t="shared" si="20"/>
        <v>200.4668414852753</v>
      </c>
      <c r="W71" s="59">
        <f t="shared" si="20"/>
        <v>200.4668414852753</v>
      </c>
      <c r="X71" s="59">
        <f t="shared" si="20"/>
        <v>200.4668414852753</v>
      </c>
      <c r="Y71" s="59">
        <f t="shared" si="20"/>
        <v>200.4668414852753</v>
      </c>
      <c r="Z71" s="59">
        <f t="shared" si="20"/>
        <v>200.4668414852753</v>
      </c>
      <c r="AA71" s="59">
        <f t="shared" si="20"/>
        <v>200.4668414852753</v>
      </c>
      <c r="AB71" s="59">
        <f t="shared" si="20"/>
        <v>200.4668414852753</v>
      </c>
      <c r="AC71" s="59">
        <f t="shared" si="20"/>
        <v>200.4668414852753</v>
      </c>
      <c r="AD71" s="59">
        <f t="shared" si="20"/>
        <v>200.4668414852753</v>
      </c>
      <c r="AE71" s="59">
        <f t="shared" si="20"/>
        <v>200.4668414852753</v>
      </c>
      <c r="AF71" s="59">
        <f t="shared" si="20"/>
        <v>200.4668414852753</v>
      </c>
      <c r="AG71" s="59">
        <f t="shared" si="20"/>
        <v>200.4668414852753</v>
      </c>
      <c r="AH71" s="59">
        <f t="shared" si="20"/>
        <v>200.4668414852753</v>
      </c>
      <c r="AI71" s="59">
        <f t="shared" si="20"/>
        <v>200.4668414852753</v>
      </c>
      <c r="AJ71" s="59">
        <f t="shared" si="20"/>
        <v>200.4668414852753</v>
      </c>
      <c r="AK71" s="59">
        <f t="shared" si="20"/>
        <v>200.4668414852753</v>
      </c>
      <c r="AL71" s="59">
        <f t="shared" si="20"/>
        <v>200.4668414852753</v>
      </c>
      <c r="AM71" s="59">
        <f t="shared" si="20"/>
        <v>200.4668414852753</v>
      </c>
      <c r="AN71" s="59">
        <f t="shared" si="20"/>
        <v>200.4668414852753</v>
      </c>
    </row>
    <row r="73" spans="1:40" s="420" customFormat="1" ht="15">
      <c r="A73" s="419" t="s">
        <v>1458</v>
      </c>
      <c r="B73" s="598"/>
      <c r="C73" s="598"/>
    </row>
    <row r="74" spans="1:40" ht="15">
      <c r="A74" s="858" t="s">
        <v>689</v>
      </c>
      <c r="B74" s="88" t="s">
        <v>600</v>
      </c>
      <c r="C74" s="803" t="s">
        <v>607</v>
      </c>
      <c r="D74" s="859" t="s">
        <v>1457</v>
      </c>
      <c r="E74" s="167">
        <f>SUM(F74:AN74)</f>
        <v>26704.28067155907</v>
      </c>
      <c r="F74" s="59">
        <v>1</v>
      </c>
      <c r="G74" s="59"/>
      <c r="H74" s="59"/>
      <c r="I74" s="59"/>
      <c r="J74" s="59"/>
      <c r="K74" s="59"/>
      <c r="L74" s="854">
        <f>'Postergações VI e RE'!U29</f>
        <v>652.98667391136951</v>
      </c>
      <c r="M74" s="854">
        <f>'Postergações VI e RE'!U30</f>
        <v>1003.0068002534191</v>
      </c>
      <c r="N74" s="854">
        <f>'Postergações VI e RE'!U31</f>
        <v>1089.9463300459156</v>
      </c>
      <c r="O74" s="854">
        <f>'Postergações VI e RE'!U32</f>
        <v>1047.1305512858844</v>
      </c>
      <c r="P74" s="854">
        <f>'Postergações VI e RE'!U33</f>
        <v>807.3888863214562</v>
      </c>
      <c r="Q74" s="854">
        <f>'Postergações VI e RE'!U34</f>
        <v>407.2727872765667</v>
      </c>
      <c r="R74" s="854">
        <f>'Postergações VI e RE'!U35</f>
        <v>625.42256776777288</v>
      </c>
      <c r="S74" s="59">
        <f>S62+S71</f>
        <v>957.73300339530397</v>
      </c>
      <c r="T74" s="59">
        <f t="shared" ref="T74:AN74" si="21">T62+T71</f>
        <v>957.73300339530397</v>
      </c>
      <c r="U74" s="59">
        <f t="shared" si="21"/>
        <v>957.73300339530397</v>
      </c>
      <c r="V74" s="59">
        <f t="shared" si="21"/>
        <v>957.73300339530397</v>
      </c>
      <c r="W74" s="59">
        <f t="shared" si="21"/>
        <v>957.73300339530397</v>
      </c>
      <c r="X74" s="59">
        <f t="shared" si="21"/>
        <v>957.73300339530397</v>
      </c>
      <c r="Y74" s="59">
        <f t="shared" si="21"/>
        <v>957.73300339530397</v>
      </c>
      <c r="Z74" s="59">
        <f t="shared" si="21"/>
        <v>957.73300339530397</v>
      </c>
      <c r="AA74" s="59">
        <f t="shared" si="21"/>
        <v>957.73300339530397</v>
      </c>
      <c r="AB74" s="59">
        <f t="shared" si="21"/>
        <v>957.73300339530397</v>
      </c>
      <c r="AC74" s="59">
        <f t="shared" si="21"/>
        <v>957.73300339530397</v>
      </c>
      <c r="AD74" s="59">
        <f t="shared" si="21"/>
        <v>957.73300339530397</v>
      </c>
      <c r="AE74" s="59">
        <f t="shared" si="21"/>
        <v>957.73300339530397</v>
      </c>
      <c r="AF74" s="59">
        <f t="shared" si="21"/>
        <v>957.73300339530397</v>
      </c>
      <c r="AG74" s="59">
        <f t="shared" si="21"/>
        <v>957.73300339530397</v>
      </c>
      <c r="AH74" s="59">
        <f t="shared" si="21"/>
        <v>957.73300339530397</v>
      </c>
      <c r="AI74" s="59">
        <f t="shared" si="21"/>
        <v>957.73300339530397</v>
      </c>
      <c r="AJ74" s="59">
        <f t="shared" si="21"/>
        <v>957.73300339530397</v>
      </c>
      <c r="AK74" s="59">
        <f t="shared" si="21"/>
        <v>957.73300339530397</v>
      </c>
      <c r="AL74" s="59">
        <f t="shared" si="21"/>
        <v>957.73300339530397</v>
      </c>
      <c r="AM74" s="59">
        <f t="shared" si="21"/>
        <v>957.73300339530397</v>
      </c>
      <c r="AN74" s="59">
        <f t="shared" si="21"/>
        <v>957.73300339530397</v>
      </c>
    </row>
    <row r="75" spans="1:40">
      <c r="D75" t="s">
        <v>482</v>
      </c>
    </row>
    <row r="78" spans="1:40">
      <c r="E78" s="69"/>
    </row>
    <row r="79" spans="1:40">
      <c r="E79" s="879"/>
    </row>
  </sheetData>
  <mergeCells count="49">
    <mergeCell ref="B70:B71"/>
    <mergeCell ref="B1:C1"/>
    <mergeCell ref="C70:C71"/>
    <mergeCell ref="B8:B9"/>
    <mergeCell ref="B11:B12"/>
    <mergeCell ref="B14:B15"/>
    <mergeCell ref="B17:B18"/>
    <mergeCell ref="B61:B62"/>
    <mergeCell ref="B65:B67"/>
    <mergeCell ref="C61:C62"/>
    <mergeCell ref="C65:C67"/>
    <mergeCell ref="B40:B43"/>
    <mergeCell ref="B50:B53"/>
    <mergeCell ref="C45:C48"/>
    <mergeCell ref="D25:D27"/>
    <mergeCell ref="C21:C23"/>
    <mergeCell ref="D14:D15"/>
    <mergeCell ref="C55:C58"/>
    <mergeCell ref="B25:B27"/>
    <mergeCell ref="C25:C27"/>
    <mergeCell ref="B29:B31"/>
    <mergeCell ref="C29:C31"/>
    <mergeCell ref="B33:B36"/>
    <mergeCell ref="C33:C36"/>
    <mergeCell ref="D29:D31"/>
    <mergeCell ref="C50:C53"/>
    <mergeCell ref="B55:B58"/>
    <mergeCell ref="D33:D36"/>
    <mergeCell ref="C40:C43"/>
    <mergeCell ref="B45:B48"/>
    <mergeCell ref="D70:D71"/>
    <mergeCell ref="D65:D67"/>
    <mergeCell ref="D61:D62"/>
    <mergeCell ref="D40:D43"/>
    <mergeCell ref="D45:D48"/>
    <mergeCell ref="D50:D53"/>
    <mergeCell ref="D55:D58"/>
    <mergeCell ref="D17:D18"/>
    <mergeCell ref="D21:D23"/>
    <mergeCell ref="B21:B23"/>
    <mergeCell ref="B4:B6"/>
    <mergeCell ref="C4:C6"/>
    <mergeCell ref="D4:D6"/>
    <mergeCell ref="C8:C9"/>
    <mergeCell ref="C11:C12"/>
    <mergeCell ref="D8:D9"/>
    <mergeCell ref="D11:D12"/>
    <mergeCell ref="C14:C15"/>
    <mergeCell ref="C17:C18"/>
  </mergeCells>
  <pageMargins left="0.511811024" right="0.511811024" top="0.78740157499999996" bottom="0.78740157499999996" header="0.31496062000000002" footer="0.3149606200000000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B41994-0D7B-46B1-964A-B8B7129C7B7A}">
  <sheetPr codeName="Planilha28">
    <tabColor rgb="FF00B050"/>
  </sheetPr>
  <dimension ref="B2:BR525"/>
  <sheetViews>
    <sheetView showGridLines="0" topLeftCell="A6" zoomScale="115" zoomScaleNormal="115" workbookViewId="0">
      <selection activeCell="A26" sqref="A26"/>
    </sheetView>
  </sheetViews>
  <sheetFormatPr defaultColWidth="9.140625" defaultRowHeight="15"/>
  <cols>
    <col min="1" max="2" width="3.42578125" style="703" customWidth="1"/>
    <col min="3" max="3" width="24.42578125" style="703" bestFit="1" customWidth="1"/>
    <col min="4" max="4" width="8.5703125" style="703" bestFit="1" customWidth="1"/>
    <col min="5" max="5" width="17" style="703" customWidth="1"/>
    <col min="6" max="6" width="12.7109375" style="703" bestFit="1" customWidth="1"/>
    <col min="7" max="7" width="12.85546875" style="703" bestFit="1" customWidth="1"/>
    <col min="8" max="8" width="12.28515625" style="703" customWidth="1"/>
    <col min="9" max="9" width="12.85546875" style="703" bestFit="1" customWidth="1"/>
    <col min="10" max="10" width="16.7109375" style="703" customWidth="1"/>
    <col min="11" max="11" width="18.42578125" style="703" customWidth="1"/>
    <col min="12" max="12" width="13.140625" style="703" customWidth="1"/>
    <col min="13" max="13" width="14.5703125" style="703" bestFit="1" customWidth="1"/>
    <col min="14" max="14" width="15.42578125" style="703" bestFit="1" customWidth="1"/>
    <col min="15" max="15" width="14.85546875" style="703" customWidth="1"/>
    <col min="16" max="16" width="16.7109375" style="703" bestFit="1" customWidth="1"/>
    <col min="17" max="18" width="10.28515625" style="703" bestFit="1" customWidth="1"/>
    <col min="19" max="19" width="11.7109375" style="703" customWidth="1"/>
    <col min="20" max="20" width="15.5703125" style="703" customWidth="1"/>
    <col min="21" max="21" width="14.28515625" style="847" customWidth="1"/>
    <col min="22" max="23" width="13.28515625" style="703" bestFit="1" customWidth="1"/>
    <col min="24" max="24" width="13.7109375" style="703" customWidth="1"/>
    <col min="25" max="30" width="9.28515625" style="703" bestFit="1" customWidth="1"/>
    <col min="31" max="32" width="10.28515625" style="703" bestFit="1" customWidth="1"/>
    <col min="33" max="36" width="9.28515625" style="703" bestFit="1" customWidth="1"/>
    <col min="37" max="38" width="10.28515625" style="703" bestFit="1" customWidth="1"/>
    <col min="39" max="39" width="9.28515625" style="703" bestFit="1" customWidth="1"/>
    <col min="40" max="40" width="10.28515625" style="703" bestFit="1" customWidth="1"/>
    <col min="41" max="41" width="9.28515625" style="703" bestFit="1" customWidth="1"/>
    <col min="42" max="43" width="10.28515625" style="703" bestFit="1" customWidth="1"/>
    <col min="44" max="46" width="9.28515625" style="703" bestFit="1" customWidth="1"/>
    <col min="47" max="47" width="10.28515625" style="703" bestFit="1" customWidth="1"/>
    <col min="48" max="51" width="9.28515625" style="703" bestFit="1" customWidth="1"/>
    <col min="52" max="54" width="10.28515625" style="703" bestFit="1" customWidth="1"/>
    <col min="55" max="60" width="9.28515625" style="703" bestFit="1" customWidth="1"/>
    <col min="61" max="61" width="10.28515625" style="703" bestFit="1" customWidth="1"/>
    <col min="62" max="63" width="9.28515625" style="703" bestFit="1" customWidth="1"/>
    <col min="64" max="65" width="10.28515625" style="703" bestFit="1" customWidth="1"/>
    <col min="66" max="67" width="9.28515625" style="703" bestFit="1" customWidth="1"/>
    <col min="68" max="68" width="10.28515625" style="703" bestFit="1" customWidth="1"/>
    <col min="69" max="70" width="9.28515625" style="703" bestFit="1" customWidth="1"/>
    <col min="71" max="73" width="10.28515625" style="703" bestFit="1" customWidth="1"/>
    <col min="74" max="74" width="11.7109375" style="703" bestFit="1" customWidth="1"/>
    <col min="75" max="16384" width="9.140625" style="703"/>
  </cols>
  <sheetData>
    <row r="2" spans="2:20">
      <c r="B2" s="813"/>
      <c r="C2" s="814"/>
      <c r="D2" s="814"/>
      <c r="E2" s="814"/>
      <c r="F2" s="814"/>
      <c r="G2" s="814"/>
      <c r="H2" s="814"/>
      <c r="I2" s="814"/>
      <c r="J2" s="814"/>
      <c r="K2" s="814"/>
      <c r="L2" s="814"/>
      <c r="M2" s="814"/>
      <c r="N2" s="814"/>
      <c r="O2" s="814"/>
      <c r="P2" s="814"/>
      <c r="Q2" s="815"/>
    </row>
    <row r="3" spans="2:20">
      <c r="B3" s="816"/>
      <c r="C3" s="811" t="s">
        <v>1332</v>
      </c>
      <c r="Q3" s="817"/>
    </row>
    <row r="4" spans="2:20">
      <c r="B4" s="816"/>
      <c r="Q4" s="818"/>
    </row>
    <row r="5" spans="2:20">
      <c r="B5" s="816"/>
      <c r="C5"/>
      <c r="D5"/>
      <c r="E5"/>
      <c r="F5"/>
      <c r="G5"/>
      <c r="H5"/>
      <c r="I5"/>
      <c r="J5" s="686" t="s">
        <v>673</v>
      </c>
      <c r="K5" s="686"/>
      <c r="L5" s="686"/>
      <c r="M5" s="686"/>
      <c r="O5" s="686" t="s">
        <v>673</v>
      </c>
      <c r="P5" s="686"/>
      <c r="Q5" s="818"/>
    </row>
    <row r="6" spans="2:20">
      <c r="B6" s="816"/>
      <c r="C6"/>
      <c r="D6"/>
      <c r="E6"/>
      <c r="F6"/>
      <c r="G6"/>
      <c r="H6"/>
      <c r="I6"/>
      <c r="J6" s="686" t="s">
        <v>676</v>
      </c>
      <c r="K6" s="686"/>
      <c r="L6" s="819" t="s">
        <v>675</v>
      </c>
      <c r="M6" s="819"/>
      <c r="O6" s="819" t="s">
        <v>677</v>
      </c>
      <c r="P6" s="819"/>
      <c r="Q6" s="818"/>
    </row>
    <row r="7" spans="2:20" ht="30">
      <c r="B7" s="816"/>
      <c r="C7" s="748"/>
      <c r="D7" s="760" t="s">
        <v>650</v>
      </c>
      <c r="E7" s="760" t="s">
        <v>651</v>
      </c>
      <c r="F7" s="760" t="s">
        <v>652</v>
      </c>
      <c r="G7" s="760" t="s">
        <v>653</v>
      </c>
      <c r="H7" s="761" t="s">
        <v>654</v>
      </c>
      <c r="I7" s="760" t="s">
        <v>655</v>
      </c>
      <c r="J7" s="762">
        <v>44102</v>
      </c>
      <c r="K7" s="762">
        <v>44132</v>
      </c>
      <c r="L7" s="763">
        <v>44163</v>
      </c>
      <c r="M7" s="763">
        <v>44193</v>
      </c>
      <c r="N7" s="763" t="s">
        <v>1333</v>
      </c>
      <c r="O7" s="763">
        <v>44163</v>
      </c>
      <c r="P7" s="763">
        <v>44193</v>
      </c>
      <c r="Q7" s="818"/>
    </row>
    <row r="8" spans="2:20">
      <c r="B8" s="816"/>
      <c r="C8" s="749" t="s">
        <v>656</v>
      </c>
      <c r="D8" s="749" t="s">
        <v>657</v>
      </c>
      <c r="E8" s="750" t="s">
        <v>405</v>
      </c>
      <c r="F8" s="750">
        <v>2019</v>
      </c>
      <c r="G8" s="751">
        <v>43934</v>
      </c>
      <c r="H8" s="751">
        <v>44022</v>
      </c>
      <c r="I8" s="752">
        <v>100659.2</v>
      </c>
      <c r="J8" s="753">
        <f t="shared" ref="J8:J17" si="0">I8/4</f>
        <v>25164.799999999999</v>
      </c>
      <c r="K8" s="753">
        <f t="shared" ref="K8:M17" si="1">J8</f>
        <v>25164.799999999999</v>
      </c>
      <c r="L8" s="753">
        <f t="shared" si="1"/>
        <v>25164.799999999999</v>
      </c>
      <c r="M8" s="753">
        <f t="shared" si="1"/>
        <v>25164.799999999999</v>
      </c>
      <c r="N8" s="753">
        <f>'Série Histórica IPCA'!J389</f>
        <v>1.7055071666416104</v>
      </c>
      <c r="O8" s="753">
        <f t="shared" ref="O8:O17" si="2">L8/N8</f>
        <v>14755.024483158943</v>
      </c>
      <c r="P8" s="753">
        <f t="shared" ref="P8:P17" si="3">O8</f>
        <v>14755.024483158943</v>
      </c>
      <c r="Q8" s="817"/>
      <c r="S8" s="850"/>
      <c r="T8" s="850"/>
    </row>
    <row r="9" spans="2:20">
      <c r="B9" s="816"/>
      <c r="C9" s="749" t="s">
        <v>656</v>
      </c>
      <c r="D9" s="749" t="s">
        <v>658</v>
      </c>
      <c r="E9" s="750" t="s">
        <v>405</v>
      </c>
      <c r="F9" s="750">
        <v>2020</v>
      </c>
      <c r="G9" s="751">
        <v>43972</v>
      </c>
      <c r="H9" s="751">
        <v>44063</v>
      </c>
      <c r="I9" s="754">
        <v>157000</v>
      </c>
      <c r="J9" s="753">
        <f t="shared" si="0"/>
        <v>39250</v>
      </c>
      <c r="K9" s="753">
        <f t="shared" si="1"/>
        <v>39250</v>
      </c>
      <c r="L9" s="753">
        <f t="shared" si="1"/>
        <v>39250</v>
      </c>
      <c r="M9" s="753">
        <f t="shared" si="1"/>
        <v>39250</v>
      </c>
      <c r="N9" s="753">
        <f>'Série Histórica IPCA'!J390</f>
        <v>1.6990266418022639</v>
      </c>
      <c r="O9" s="753">
        <f t="shared" si="2"/>
        <v>23101.462351623319</v>
      </c>
      <c r="P9" s="753">
        <f t="shared" si="3"/>
        <v>23101.462351623319</v>
      </c>
      <c r="Q9" s="817"/>
      <c r="S9" s="850"/>
      <c r="T9" s="850"/>
    </row>
    <row r="10" spans="2:20">
      <c r="B10" s="816"/>
      <c r="C10" s="749" t="s">
        <v>656</v>
      </c>
      <c r="D10" s="749" t="s">
        <v>659</v>
      </c>
      <c r="E10" s="750" t="s">
        <v>405</v>
      </c>
      <c r="F10" s="750">
        <v>2020</v>
      </c>
      <c r="G10" s="751">
        <v>44054</v>
      </c>
      <c r="H10" s="751"/>
      <c r="I10" s="755">
        <v>67634.45</v>
      </c>
      <c r="J10" s="753">
        <f t="shared" si="0"/>
        <v>16908.612499999999</v>
      </c>
      <c r="K10" s="753">
        <f t="shared" si="1"/>
        <v>16908.612499999999</v>
      </c>
      <c r="L10" s="753">
        <f t="shared" si="1"/>
        <v>16908.612499999999</v>
      </c>
      <c r="M10" s="753">
        <f t="shared" si="1"/>
        <v>16908.612499999999</v>
      </c>
      <c r="N10" s="753">
        <f>'Série Histórica IPCA'!J393</f>
        <v>1.7136797929814573</v>
      </c>
      <c r="O10" s="753">
        <f t="shared" si="2"/>
        <v>9866.8447683463801</v>
      </c>
      <c r="P10" s="753">
        <f t="shared" si="3"/>
        <v>9866.8447683463801</v>
      </c>
      <c r="Q10" s="817"/>
      <c r="S10" s="850"/>
      <c r="T10" s="850"/>
    </row>
    <row r="11" spans="2:20">
      <c r="B11" s="816"/>
      <c r="C11" s="749" t="s">
        <v>656</v>
      </c>
      <c r="D11" s="749" t="s">
        <v>660</v>
      </c>
      <c r="E11" s="750" t="s">
        <v>405</v>
      </c>
      <c r="F11" s="750">
        <v>2020</v>
      </c>
      <c r="G11" s="751">
        <v>44054</v>
      </c>
      <c r="H11" s="751"/>
      <c r="I11" s="755">
        <v>144537.16</v>
      </c>
      <c r="J11" s="753">
        <f t="shared" si="0"/>
        <v>36134.29</v>
      </c>
      <c r="K11" s="753">
        <f t="shared" si="1"/>
        <v>36134.29</v>
      </c>
      <c r="L11" s="753">
        <f t="shared" si="1"/>
        <v>36134.29</v>
      </c>
      <c r="M11" s="753">
        <f t="shared" si="1"/>
        <v>36134.29</v>
      </c>
      <c r="N11" s="753">
        <f>'Série Histórica IPCA'!J393</f>
        <v>1.7136797929814573</v>
      </c>
      <c r="O11" s="753">
        <f t="shared" si="2"/>
        <v>21085.788691674785</v>
      </c>
      <c r="P11" s="753">
        <f t="shared" si="3"/>
        <v>21085.788691674785</v>
      </c>
      <c r="Q11" s="817"/>
      <c r="S11" s="850"/>
      <c r="T11" s="850"/>
    </row>
    <row r="12" spans="2:20">
      <c r="B12" s="816"/>
      <c r="C12" s="749" t="s">
        <v>440</v>
      </c>
      <c r="D12" s="749" t="s">
        <v>661</v>
      </c>
      <c r="E12" s="750">
        <v>30</v>
      </c>
      <c r="F12" s="756">
        <v>43831</v>
      </c>
      <c r="G12" s="751">
        <v>43934</v>
      </c>
      <c r="H12" s="751">
        <v>44022</v>
      </c>
      <c r="I12" s="757">
        <v>76338.990000000005</v>
      </c>
      <c r="J12" s="753">
        <f t="shared" si="0"/>
        <v>19084.747500000001</v>
      </c>
      <c r="K12" s="753">
        <f t="shared" si="1"/>
        <v>19084.747500000001</v>
      </c>
      <c r="L12" s="753">
        <f t="shared" si="1"/>
        <v>19084.747500000001</v>
      </c>
      <c r="M12" s="753">
        <f t="shared" si="1"/>
        <v>19084.747500000001</v>
      </c>
      <c r="N12" s="753">
        <f>'Série Histórica IPCA'!J389</f>
        <v>1.7055071666416104</v>
      </c>
      <c r="O12" s="753">
        <f t="shared" si="2"/>
        <v>11190.071711970944</v>
      </c>
      <c r="P12" s="753">
        <f t="shared" si="3"/>
        <v>11190.071711970944</v>
      </c>
      <c r="Q12" s="817"/>
      <c r="S12" s="850"/>
      <c r="T12" s="850"/>
    </row>
    <row r="13" spans="2:20">
      <c r="B13" s="816"/>
      <c r="C13" s="749" t="s">
        <v>440</v>
      </c>
      <c r="D13" s="749" t="s">
        <v>662</v>
      </c>
      <c r="E13" s="750">
        <v>31</v>
      </c>
      <c r="F13" s="756">
        <v>43862</v>
      </c>
      <c r="G13" s="751">
        <v>43972</v>
      </c>
      <c r="H13" s="751">
        <v>44063</v>
      </c>
      <c r="I13" s="757">
        <v>75199.83</v>
      </c>
      <c r="J13" s="753">
        <f t="shared" si="0"/>
        <v>18799.9575</v>
      </c>
      <c r="K13" s="753">
        <f t="shared" si="1"/>
        <v>18799.9575</v>
      </c>
      <c r="L13" s="753">
        <f t="shared" si="1"/>
        <v>18799.9575</v>
      </c>
      <c r="M13" s="753">
        <f t="shared" si="1"/>
        <v>18799.9575</v>
      </c>
      <c r="N13" s="753">
        <f>'Série Histórica IPCA'!J390</f>
        <v>1.6990266418022639</v>
      </c>
      <c r="O13" s="753">
        <f t="shared" si="2"/>
        <v>11065.134022888369</v>
      </c>
      <c r="P13" s="753">
        <f t="shared" si="3"/>
        <v>11065.134022888369</v>
      </c>
      <c r="Q13" s="817"/>
      <c r="S13" s="850"/>
      <c r="T13" s="850"/>
    </row>
    <row r="14" spans="2:20">
      <c r="B14" s="816"/>
      <c r="C14" s="749" t="s">
        <v>440</v>
      </c>
      <c r="D14" s="749" t="s">
        <v>663</v>
      </c>
      <c r="E14" s="749" t="s">
        <v>664</v>
      </c>
      <c r="F14" s="750">
        <v>2018</v>
      </c>
      <c r="G14" s="751">
        <v>43977</v>
      </c>
      <c r="H14" s="751">
        <v>44068</v>
      </c>
      <c r="I14" s="757">
        <v>54605.48</v>
      </c>
      <c r="J14" s="753">
        <f t="shared" si="0"/>
        <v>13651.37</v>
      </c>
      <c r="K14" s="753">
        <f t="shared" si="1"/>
        <v>13651.37</v>
      </c>
      <c r="L14" s="753">
        <f t="shared" si="1"/>
        <v>13651.37</v>
      </c>
      <c r="M14" s="753">
        <f t="shared" si="1"/>
        <v>13651.37</v>
      </c>
      <c r="N14" s="753">
        <f>'Série Histórica IPCA'!J390</f>
        <v>1.6990266418022639</v>
      </c>
      <c r="O14" s="753">
        <f t="shared" si="2"/>
        <v>8034.8180917982181</v>
      </c>
      <c r="P14" s="753">
        <f t="shared" si="3"/>
        <v>8034.8180917982181</v>
      </c>
      <c r="Q14" s="817"/>
      <c r="S14" s="850"/>
      <c r="T14" s="850"/>
    </row>
    <row r="15" spans="2:20">
      <c r="B15" s="816"/>
      <c r="C15" s="749" t="s">
        <v>440</v>
      </c>
      <c r="D15" s="749" t="s">
        <v>665</v>
      </c>
      <c r="E15" s="750">
        <v>33</v>
      </c>
      <c r="F15" s="756">
        <v>43922</v>
      </c>
      <c r="G15" s="751">
        <v>44054</v>
      </c>
      <c r="H15" s="751"/>
      <c r="I15" s="758">
        <v>100746.19</v>
      </c>
      <c r="J15" s="753">
        <f t="shared" si="0"/>
        <v>25186.547500000001</v>
      </c>
      <c r="K15" s="753">
        <f t="shared" si="1"/>
        <v>25186.547500000001</v>
      </c>
      <c r="L15" s="753">
        <f>K15</f>
        <v>25186.547500000001</v>
      </c>
      <c r="M15" s="753">
        <f t="shared" si="1"/>
        <v>25186.547500000001</v>
      </c>
      <c r="N15" s="753">
        <f>'Série Histórica IPCA'!J393</f>
        <v>1.7136797929814573</v>
      </c>
      <c r="O15" s="753">
        <f t="shared" si="2"/>
        <v>14697.34754599661</v>
      </c>
      <c r="P15" s="753">
        <f>O15</f>
        <v>14697.34754599661</v>
      </c>
      <c r="Q15" s="817"/>
      <c r="S15" s="850"/>
      <c r="T15" s="850"/>
    </row>
    <row r="16" spans="2:20">
      <c r="B16" s="816"/>
      <c r="C16" s="749" t="s">
        <v>440</v>
      </c>
      <c r="D16" s="749" t="s">
        <v>666</v>
      </c>
      <c r="E16" s="750">
        <v>34</v>
      </c>
      <c r="F16" s="756">
        <v>43952</v>
      </c>
      <c r="G16" s="751">
        <v>44054</v>
      </c>
      <c r="H16" s="751"/>
      <c r="I16" s="758">
        <v>99533.03</v>
      </c>
      <c r="J16" s="753">
        <f t="shared" si="0"/>
        <v>24883.2575</v>
      </c>
      <c r="K16" s="753">
        <f t="shared" si="1"/>
        <v>24883.2575</v>
      </c>
      <c r="L16" s="753">
        <f>K16</f>
        <v>24883.2575</v>
      </c>
      <c r="M16" s="753">
        <f t="shared" si="1"/>
        <v>24883.2575</v>
      </c>
      <c r="N16" s="753">
        <f>'Série Histórica IPCA'!J393</f>
        <v>1.7136797929814573</v>
      </c>
      <c r="O16" s="753">
        <f t="shared" si="2"/>
        <v>14520.36582441586</v>
      </c>
      <c r="P16" s="753">
        <f>O16</f>
        <v>14520.36582441586</v>
      </c>
      <c r="Q16" s="817"/>
      <c r="S16" s="850"/>
      <c r="T16" s="850"/>
    </row>
    <row r="17" spans="2:70">
      <c r="B17" s="816"/>
      <c r="C17" s="749" t="s">
        <v>440</v>
      </c>
      <c r="D17" s="749" t="s">
        <v>674</v>
      </c>
      <c r="E17" s="750">
        <v>35</v>
      </c>
      <c r="F17" s="756">
        <v>43983</v>
      </c>
      <c r="G17" s="751">
        <v>44054</v>
      </c>
      <c r="H17" s="751"/>
      <c r="I17" s="758">
        <v>179816.64</v>
      </c>
      <c r="J17" s="753">
        <f t="shared" si="0"/>
        <v>44954.16</v>
      </c>
      <c r="K17" s="753">
        <f t="shared" si="1"/>
        <v>44954.16</v>
      </c>
      <c r="L17" s="753">
        <f t="shared" si="1"/>
        <v>44954.16</v>
      </c>
      <c r="M17" s="753">
        <f t="shared" si="1"/>
        <v>44954.16</v>
      </c>
      <c r="N17" s="753">
        <f>'Série Histórica IPCA'!J393</f>
        <v>1.7136797929814573</v>
      </c>
      <c r="O17" s="753">
        <f t="shared" si="2"/>
        <v>26232.531995833848</v>
      </c>
      <c r="P17" s="753">
        <f t="shared" si="3"/>
        <v>26232.531995833848</v>
      </c>
      <c r="Q17" s="817"/>
      <c r="S17" s="850"/>
      <c r="T17" s="850"/>
    </row>
    <row r="18" spans="2:70" ht="15.75" thickBot="1">
      <c r="B18" s="816"/>
      <c r="C18"/>
      <c r="D18"/>
      <c r="E18"/>
      <c r="F18"/>
      <c r="G18"/>
      <c r="H18"/>
      <c r="I18" s="759">
        <f>SUM(I8:I17)</f>
        <v>1056070.9700000002</v>
      </c>
      <c r="J18" s="759">
        <f t="shared" ref="J18:M18" si="4">SUM(J8:J17)</f>
        <v>264017.74250000005</v>
      </c>
      <c r="K18" s="759">
        <f t="shared" si="4"/>
        <v>264017.74250000005</v>
      </c>
      <c r="L18" s="759">
        <f t="shared" si="4"/>
        <v>264017.74250000005</v>
      </c>
      <c r="M18" s="759">
        <f t="shared" si="4"/>
        <v>264017.74250000005</v>
      </c>
      <c r="N18" s="759"/>
      <c r="O18" s="759">
        <f>SUM(O8:O17)</f>
        <v>154549.38948770729</v>
      </c>
      <c r="P18" s="759">
        <f t="shared" ref="P18" si="5">SUM(P8:P17)</f>
        <v>154549.38948770729</v>
      </c>
      <c r="Q18" s="817"/>
    </row>
    <row r="19" spans="2:70" ht="5.25" customHeight="1" thickTop="1">
      <c r="B19" s="816"/>
      <c r="Q19" s="817"/>
    </row>
    <row r="20" spans="2:70">
      <c r="B20" s="816"/>
      <c r="O20" s="820" t="s">
        <v>678</v>
      </c>
      <c r="P20" s="821">
        <f>O18+P18</f>
        <v>309098.77897541458</v>
      </c>
      <c r="Q20" s="817"/>
    </row>
    <row r="21" spans="2:70">
      <c r="B21" s="816"/>
      <c r="Q21" s="817"/>
    </row>
    <row r="22" spans="2:70">
      <c r="B22" s="816"/>
      <c r="O22" s="820" t="s">
        <v>679</v>
      </c>
      <c r="P22" s="821">
        <f>(P18+O18)/1000</f>
        <v>309.09877897541458</v>
      </c>
      <c r="Q22" s="817"/>
    </row>
    <row r="23" spans="2:70">
      <c r="B23" s="822"/>
      <c r="C23" s="823"/>
      <c r="D23" s="823"/>
      <c r="E23" s="823"/>
      <c r="F23" s="823"/>
      <c r="G23" s="823"/>
      <c r="H23" s="823"/>
      <c r="I23" s="823"/>
      <c r="J23" s="823"/>
      <c r="K23" s="823"/>
      <c r="L23" s="823"/>
      <c r="M23" s="823"/>
      <c r="N23" s="823"/>
      <c r="O23" s="823"/>
      <c r="P23" s="823"/>
      <c r="Q23" s="824"/>
    </row>
    <row r="26" spans="2:70">
      <c r="C26" s="811" t="s">
        <v>1445</v>
      </c>
      <c r="Q26" s="847"/>
      <c r="U26" s="703"/>
    </row>
    <row r="27" spans="2:70">
      <c r="P27" s="811" t="s">
        <v>1456</v>
      </c>
      <c r="Q27" s="847"/>
      <c r="U27" s="703"/>
    </row>
    <row r="28" spans="2:70" s="843" customFormat="1" ht="27" customHeight="1">
      <c r="C28" s="853" t="s">
        <v>690</v>
      </c>
      <c r="D28" s="853" t="s">
        <v>691</v>
      </c>
      <c r="E28" s="853" t="s">
        <v>692</v>
      </c>
      <c r="F28" s="853" t="s">
        <v>693</v>
      </c>
      <c r="G28" s="853" t="s">
        <v>694</v>
      </c>
      <c r="H28" s="853" t="s">
        <v>695</v>
      </c>
      <c r="I28" s="853" t="s">
        <v>696</v>
      </c>
      <c r="J28" s="853" t="s">
        <v>697</v>
      </c>
      <c r="K28" s="853" t="s">
        <v>698</v>
      </c>
      <c r="L28" s="853" t="s">
        <v>699</v>
      </c>
      <c r="M28" s="853" t="s">
        <v>1333</v>
      </c>
      <c r="N28" s="853" t="s">
        <v>1444</v>
      </c>
      <c r="O28" s="844"/>
      <c r="P28" s="849" t="s">
        <v>1455</v>
      </c>
      <c r="Q28" s="849" t="s">
        <v>1451</v>
      </c>
      <c r="R28" s="849" t="s">
        <v>1452</v>
      </c>
      <c r="S28" s="849" t="s">
        <v>1453</v>
      </c>
      <c r="T28" s="849" t="s">
        <v>1450</v>
      </c>
      <c r="U28" s="849" t="s">
        <v>1454</v>
      </c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</row>
    <row r="29" spans="2:70">
      <c r="C29" s="806" t="s">
        <v>691</v>
      </c>
      <c r="D29" s="807" t="s">
        <v>700</v>
      </c>
      <c r="E29" s="806" t="s">
        <v>701</v>
      </c>
      <c r="F29" s="808">
        <v>43033</v>
      </c>
      <c r="G29" s="808">
        <v>43049</v>
      </c>
      <c r="H29" s="808">
        <v>43049</v>
      </c>
      <c r="I29" s="812">
        <v>14118.91</v>
      </c>
      <c r="J29" s="812">
        <v>12544.65</v>
      </c>
      <c r="K29" s="809" t="s">
        <v>702</v>
      </c>
      <c r="L29" s="810" t="str">
        <f>MONTH(H29)&amp;"/"&amp;YEAR(H29)</f>
        <v>11/2017</v>
      </c>
      <c r="M29" s="835">
        <f>_xlfn.XLOOKUP(L29,'Série Histórica IPCA'!$N$313:$N$447,'Série Histórica IPCA'!$J$313:$J$447,0)</f>
        <v>1.565728067453755</v>
      </c>
      <c r="N29" s="812">
        <f>I29/M29</f>
        <v>9017.472633648762</v>
      </c>
      <c r="P29" s="848" t="s">
        <v>668</v>
      </c>
      <c r="Q29" s="848">
        <v>2018</v>
      </c>
      <c r="R29" s="851">
        <v>43043</v>
      </c>
      <c r="S29" s="851">
        <v>43407</v>
      </c>
      <c r="T29" s="457">
        <f t="shared" ref="T29:T34" si="6">SUMIFS($N$29:$N$510,$H$29:$H$510,"&gt;="&amp;R29,$H$29:$H$510,"&lt;="&amp;S29)</f>
        <v>652986.67391136952</v>
      </c>
      <c r="U29" s="852">
        <f t="shared" ref="U29:U34" si="7">T29/1000</f>
        <v>652.98667391136951</v>
      </c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</row>
    <row r="30" spans="2:70">
      <c r="C30" s="825" t="s">
        <v>691</v>
      </c>
      <c r="D30" s="826" t="s">
        <v>703</v>
      </c>
      <c r="E30" s="825" t="s">
        <v>701</v>
      </c>
      <c r="F30" s="827">
        <v>43033</v>
      </c>
      <c r="G30" s="827">
        <v>43049</v>
      </c>
      <c r="H30" s="827">
        <v>43049</v>
      </c>
      <c r="I30" s="828">
        <v>23491.38</v>
      </c>
      <c r="J30" s="828">
        <v>20872.099999999999</v>
      </c>
      <c r="K30" s="829" t="s">
        <v>702</v>
      </c>
      <c r="L30" s="810" t="str">
        <f t="shared" ref="L30:L93" si="8">MONTH(H30)&amp;"/"&amp;YEAR(H30)</f>
        <v>11/2017</v>
      </c>
      <c r="M30" s="835">
        <f>_xlfn.XLOOKUP(L30,'Série Histórica IPCA'!$N$313:$N$447,'Série Histórica IPCA'!$J$313:$J$447,0)</f>
        <v>1.565728067453755</v>
      </c>
      <c r="N30" s="828">
        <f t="shared" ref="N30:N93" si="9">I30/M30</f>
        <v>15003.48654936138</v>
      </c>
      <c r="P30" s="848" t="s">
        <v>669</v>
      </c>
      <c r="Q30" s="848">
        <v>2019</v>
      </c>
      <c r="R30" s="851">
        <v>43408</v>
      </c>
      <c r="S30" s="851">
        <v>43772</v>
      </c>
      <c r="T30" s="457">
        <f t="shared" si="6"/>
        <v>1003006.8002534191</v>
      </c>
      <c r="U30" s="852">
        <f t="shared" si="7"/>
        <v>1003.0068002534191</v>
      </c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</row>
    <row r="31" spans="2:70">
      <c r="C31" s="830" t="s">
        <v>691</v>
      </c>
      <c r="D31" s="831" t="s">
        <v>704</v>
      </c>
      <c r="E31" s="830" t="s">
        <v>701</v>
      </c>
      <c r="F31" s="832">
        <v>43009</v>
      </c>
      <c r="G31" s="832">
        <v>43052</v>
      </c>
      <c r="H31" s="832">
        <v>43052</v>
      </c>
      <c r="I31" s="833">
        <v>15660.92</v>
      </c>
      <c r="J31" s="833">
        <v>13834.56</v>
      </c>
      <c r="K31" s="834" t="s">
        <v>705</v>
      </c>
      <c r="L31" s="810" t="str">
        <f t="shared" si="8"/>
        <v>11/2017</v>
      </c>
      <c r="M31" s="835">
        <f>_xlfn.XLOOKUP(L31,'Série Histórica IPCA'!$N$313:$N$447,'Série Histórica IPCA'!$J$313:$J$447,0)</f>
        <v>1.565728067453755</v>
      </c>
      <c r="N31" s="833">
        <f t="shared" si="9"/>
        <v>10002.32436624092</v>
      </c>
      <c r="P31" s="848" t="s">
        <v>648</v>
      </c>
      <c r="Q31" s="848">
        <v>2020</v>
      </c>
      <c r="R31" s="851">
        <v>43773</v>
      </c>
      <c r="S31" s="851">
        <v>44138</v>
      </c>
      <c r="T31" s="457">
        <f t="shared" si="6"/>
        <v>1089946.3300459157</v>
      </c>
      <c r="U31" s="852">
        <f t="shared" si="7"/>
        <v>1089.9463300459156</v>
      </c>
    </row>
    <row r="32" spans="2:70">
      <c r="C32" s="830" t="s">
        <v>691</v>
      </c>
      <c r="D32" s="831" t="s">
        <v>706</v>
      </c>
      <c r="E32" s="830" t="s">
        <v>701</v>
      </c>
      <c r="F32" s="832">
        <v>43009</v>
      </c>
      <c r="G32" s="832">
        <v>43052</v>
      </c>
      <c r="H32" s="832">
        <v>43052</v>
      </c>
      <c r="I32" s="833">
        <v>9412.61</v>
      </c>
      <c r="J32" s="833">
        <v>8306.6200000000008</v>
      </c>
      <c r="K32" s="834" t="s">
        <v>705</v>
      </c>
      <c r="L32" s="810" t="str">
        <f t="shared" si="8"/>
        <v>11/2017</v>
      </c>
      <c r="M32" s="835">
        <f>_xlfn.XLOOKUP(L32,'Série Histórica IPCA'!$N$313:$N$447,'Série Histórica IPCA'!$J$313:$J$447,0)</f>
        <v>1.565728067453755</v>
      </c>
      <c r="N32" s="833">
        <f t="shared" si="9"/>
        <v>6011.6505513675411</v>
      </c>
      <c r="P32" s="848" t="s">
        <v>675</v>
      </c>
      <c r="Q32" s="848">
        <v>2021</v>
      </c>
      <c r="R32" s="851">
        <v>44139</v>
      </c>
      <c r="S32" s="851">
        <v>44503</v>
      </c>
      <c r="T32" s="457">
        <f t="shared" si="6"/>
        <v>1047130.5512858843</v>
      </c>
      <c r="U32" s="852">
        <f t="shared" si="7"/>
        <v>1047.1305512858844</v>
      </c>
    </row>
    <row r="33" spans="3:21">
      <c r="C33" s="825" t="s">
        <v>691</v>
      </c>
      <c r="D33" s="826" t="s">
        <v>707</v>
      </c>
      <c r="E33" s="825" t="s">
        <v>708</v>
      </c>
      <c r="F33" s="827">
        <v>43053</v>
      </c>
      <c r="G33" s="827">
        <v>43066</v>
      </c>
      <c r="H33" s="827">
        <v>43066</v>
      </c>
      <c r="I33" s="828">
        <v>16223.7</v>
      </c>
      <c r="J33" s="828">
        <v>14414.76</v>
      </c>
      <c r="K33" s="829" t="s">
        <v>702</v>
      </c>
      <c r="L33" s="810" t="str">
        <f t="shared" si="8"/>
        <v>11/2017</v>
      </c>
      <c r="M33" s="835">
        <f>_xlfn.XLOOKUP(L33,'Série Histórica IPCA'!$N$313:$N$447,'Série Histórica IPCA'!$J$313:$J$447,0)</f>
        <v>1.565728067453755</v>
      </c>
      <c r="N33" s="828">
        <f t="shared" si="9"/>
        <v>10361.760983427717</v>
      </c>
      <c r="P33" s="848" t="s">
        <v>1448</v>
      </c>
      <c r="Q33" s="848">
        <v>2022</v>
      </c>
      <c r="R33" s="851">
        <v>44504</v>
      </c>
      <c r="S33" s="851">
        <v>44868</v>
      </c>
      <c r="T33" s="457">
        <f t="shared" si="6"/>
        <v>807388.88632145617</v>
      </c>
      <c r="U33" s="852">
        <f t="shared" si="7"/>
        <v>807.3888863214562</v>
      </c>
    </row>
    <row r="34" spans="3:21">
      <c r="C34" s="825" t="s">
        <v>691</v>
      </c>
      <c r="D34" s="826" t="s">
        <v>709</v>
      </c>
      <c r="E34" s="825" t="s">
        <v>708</v>
      </c>
      <c r="F34" s="827">
        <v>43053</v>
      </c>
      <c r="G34" s="827">
        <v>43066</v>
      </c>
      <c r="H34" s="827">
        <v>43066</v>
      </c>
      <c r="I34" s="828">
        <v>26993.38</v>
      </c>
      <c r="J34" s="828">
        <v>23983.61</v>
      </c>
      <c r="K34" s="829" t="s">
        <v>702</v>
      </c>
      <c r="L34" s="810" t="str">
        <f t="shared" si="8"/>
        <v>11/2017</v>
      </c>
      <c r="M34" s="835">
        <f>_xlfn.XLOOKUP(L34,'Série Histórica IPCA'!$N$313:$N$447,'Série Histórica IPCA'!$J$313:$J$447,0)</f>
        <v>1.565728067453755</v>
      </c>
      <c r="N34" s="828">
        <f t="shared" si="9"/>
        <v>17240.145693943927</v>
      </c>
      <c r="P34" s="848" t="s">
        <v>1446</v>
      </c>
      <c r="Q34" s="848">
        <v>2023</v>
      </c>
      <c r="R34" s="851">
        <v>44869</v>
      </c>
      <c r="S34" s="851">
        <v>45233</v>
      </c>
      <c r="T34" s="457">
        <f t="shared" si="6"/>
        <v>407272.78727656673</v>
      </c>
      <c r="U34" s="852">
        <f t="shared" si="7"/>
        <v>407.2727872765667</v>
      </c>
    </row>
    <row r="35" spans="3:21">
      <c r="C35" s="830" t="s">
        <v>691</v>
      </c>
      <c r="D35" s="831" t="s">
        <v>710</v>
      </c>
      <c r="E35" s="830" t="s">
        <v>708</v>
      </c>
      <c r="F35" s="832">
        <v>43053</v>
      </c>
      <c r="G35" s="832">
        <v>43066</v>
      </c>
      <c r="H35" s="832">
        <v>43066</v>
      </c>
      <c r="I35" s="833">
        <v>17995.599999999999</v>
      </c>
      <c r="J35" s="833">
        <v>15989.09</v>
      </c>
      <c r="K35" s="834" t="s">
        <v>705</v>
      </c>
      <c r="L35" s="810" t="str">
        <f t="shared" si="8"/>
        <v>11/2017</v>
      </c>
      <c r="M35" s="835">
        <f>_xlfn.XLOOKUP(L35,'Série Histórica IPCA'!$N$313:$N$447,'Série Histórica IPCA'!$J$313:$J$447,0)</f>
        <v>1.565728067453755</v>
      </c>
      <c r="N35" s="833">
        <f t="shared" si="9"/>
        <v>11493.438978369411</v>
      </c>
      <c r="P35" s="848" t="s">
        <v>1447</v>
      </c>
      <c r="Q35" s="848">
        <v>2024</v>
      </c>
      <c r="R35" s="851">
        <v>45234</v>
      </c>
      <c r="S35" s="851">
        <v>45599</v>
      </c>
      <c r="T35" s="457">
        <f>SUMIFS($N$29:$N$525,$H$29:$H$525,"&gt;="&amp;R35,$H$29:$H$525,"&lt;="&amp;S35)</f>
        <v>625422.56776777282</v>
      </c>
      <c r="U35" s="852">
        <f t="shared" ref="U35" si="10">T35/1000</f>
        <v>625.42256776777288</v>
      </c>
    </row>
    <row r="36" spans="3:21">
      <c r="C36" s="830" t="s">
        <v>691</v>
      </c>
      <c r="D36" s="831" t="s">
        <v>711</v>
      </c>
      <c r="E36" s="830" t="s">
        <v>708</v>
      </c>
      <c r="F36" s="832">
        <v>43053</v>
      </c>
      <c r="G36" s="832">
        <v>43066</v>
      </c>
      <c r="H36" s="832">
        <v>43066</v>
      </c>
      <c r="I36" s="833">
        <v>10815.8</v>
      </c>
      <c r="J36" s="833">
        <v>9609.84</v>
      </c>
      <c r="K36" s="834" t="s">
        <v>705</v>
      </c>
      <c r="L36" s="810" t="str">
        <f t="shared" si="8"/>
        <v>11/2017</v>
      </c>
      <c r="M36" s="835">
        <f>_xlfn.XLOOKUP(L36,'Série Histórica IPCA'!$N$313:$N$447,'Série Histórica IPCA'!$J$313:$J$447,0)</f>
        <v>1.565728067453755</v>
      </c>
      <c r="N36" s="833">
        <f t="shared" si="9"/>
        <v>6907.8406556184773</v>
      </c>
      <c r="T36" s="852">
        <f>SUM(T29:T35)</f>
        <v>5633154.5968623841</v>
      </c>
      <c r="U36" s="846">
        <f>T36/1000</f>
        <v>5633.1545968623841</v>
      </c>
    </row>
    <row r="37" spans="3:21">
      <c r="C37" s="825" t="s">
        <v>691</v>
      </c>
      <c r="D37" s="826" t="s">
        <v>712</v>
      </c>
      <c r="E37" s="825" t="s">
        <v>713</v>
      </c>
      <c r="F37" s="827">
        <v>43070</v>
      </c>
      <c r="G37" s="827">
        <v>43087</v>
      </c>
      <c r="H37" s="827">
        <v>43087</v>
      </c>
      <c r="I37" s="828">
        <v>26590.58</v>
      </c>
      <c r="J37" s="828">
        <v>23625.71</v>
      </c>
      <c r="K37" s="829" t="s">
        <v>702</v>
      </c>
      <c r="L37" s="810" t="str">
        <f t="shared" si="8"/>
        <v>12/2017</v>
      </c>
      <c r="M37" s="835">
        <f>_xlfn.XLOOKUP(L37,'Série Histórica IPCA'!$N$313:$N$447,'Série Histórica IPCA'!$J$313:$J$447,0)</f>
        <v>1.57261802327999</v>
      </c>
      <c r="N37" s="828">
        <f t="shared" si="9"/>
        <v>16908.479749291157</v>
      </c>
    </row>
    <row r="38" spans="3:21">
      <c r="C38" s="825" t="s">
        <v>691</v>
      </c>
      <c r="D38" s="826" t="s">
        <v>714</v>
      </c>
      <c r="E38" s="825" t="s">
        <v>713</v>
      </c>
      <c r="F38" s="827">
        <v>43070</v>
      </c>
      <c r="G38" s="827">
        <v>43087</v>
      </c>
      <c r="H38" s="827">
        <v>43087</v>
      </c>
      <c r="I38" s="828">
        <v>15981.6</v>
      </c>
      <c r="J38" s="828">
        <v>14151.72</v>
      </c>
      <c r="K38" s="829" t="s">
        <v>702</v>
      </c>
      <c r="L38" s="810" t="str">
        <f t="shared" si="8"/>
        <v>12/2017</v>
      </c>
      <c r="M38" s="835">
        <f>_xlfn.XLOOKUP(L38,'Série Histórica IPCA'!$N$313:$N$447,'Série Histórica IPCA'!$J$313:$J$447,0)</f>
        <v>1.57261802327999</v>
      </c>
      <c r="N38" s="828">
        <f t="shared" si="9"/>
        <v>10162.416914609292</v>
      </c>
    </row>
    <row r="39" spans="3:21">
      <c r="C39" s="830" t="s">
        <v>691</v>
      </c>
      <c r="D39" s="831" t="s">
        <v>715</v>
      </c>
      <c r="E39" s="830" t="s">
        <v>713</v>
      </c>
      <c r="F39" s="832">
        <v>43070</v>
      </c>
      <c r="G39" s="832">
        <v>43087</v>
      </c>
      <c r="H39" s="832">
        <v>43087</v>
      </c>
      <c r="I39" s="833">
        <v>17727.05</v>
      </c>
      <c r="J39" s="833">
        <v>15750.49</v>
      </c>
      <c r="K39" s="834" t="s">
        <v>705</v>
      </c>
      <c r="L39" s="810" t="str">
        <f t="shared" si="8"/>
        <v>12/2017</v>
      </c>
      <c r="M39" s="835">
        <f>_xlfn.XLOOKUP(L39,'Série Histórica IPCA'!$N$313:$N$447,'Série Histórica IPCA'!$J$313:$J$447,0)</f>
        <v>1.57261802327999</v>
      </c>
      <c r="N39" s="833">
        <f t="shared" si="9"/>
        <v>11272.317713253031</v>
      </c>
    </row>
    <row r="40" spans="3:21">
      <c r="C40" s="830" t="s">
        <v>691</v>
      </c>
      <c r="D40" s="831" t="s">
        <v>716</v>
      </c>
      <c r="E40" s="830" t="s">
        <v>713</v>
      </c>
      <c r="F40" s="832">
        <v>43070</v>
      </c>
      <c r="G40" s="832">
        <v>43087</v>
      </c>
      <c r="H40" s="832">
        <v>43087</v>
      </c>
      <c r="I40" s="833">
        <v>10654.41</v>
      </c>
      <c r="J40" s="833">
        <v>9434.4699999999993</v>
      </c>
      <c r="K40" s="834" t="s">
        <v>705</v>
      </c>
      <c r="L40" s="810" t="str">
        <f t="shared" si="8"/>
        <v>12/2017</v>
      </c>
      <c r="M40" s="835">
        <f>_xlfn.XLOOKUP(L40,'Série Histórica IPCA'!$N$313:$N$447,'Série Histórica IPCA'!$J$313:$J$447,0)</f>
        <v>1.57261802327999</v>
      </c>
      <c r="N40" s="833">
        <f t="shared" si="9"/>
        <v>6774.9509685627463</v>
      </c>
    </row>
    <row r="41" spans="3:21">
      <c r="C41" s="825" t="s">
        <v>691</v>
      </c>
      <c r="D41" s="826" t="s">
        <v>717</v>
      </c>
      <c r="E41" s="825" t="s">
        <v>718</v>
      </c>
      <c r="F41" s="827">
        <v>43103</v>
      </c>
      <c r="G41" s="827">
        <v>43117</v>
      </c>
      <c r="H41" s="827">
        <v>43117</v>
      </c>
      <c r="I41" s="828">
        <v>26590.58</v>
      </c>
      <c r="J41" s="828">
        <v>23625.73</v>
      </c>
      <c r="K41" s="829" t="s">
        <v>702</v>
      </c>
      <c r="L41" s="810" t="str">
        <f t="shared" si="8"/>
        <v>1/2018</v>
      </c>
      <c r="M41" s="835">
        <f>_xlfn.XLOOKUP(L41,'Série Histórica IPCA'!$N$313:$N$447,'Série Histórica IPCA'!$J$313:$J$447,0)</f>
        <v>1.5771793403682961</v>
      </c>
      <c r="N41" s="828">
        <f t="shared" si="9"/>
        <v>16859.579199021642</v>
      </c>
    </row>
    <row r="42" spans="3:21">
      <c r="C42" s="825" t="s">
        <v>691</v>
      </c>
      <c r="D42" s="826" t="s">
        <v>719</v>
      </c>
      <c r="E42" s="825" t="s">
        <v>718</v>
      </c>
      <c r="F42" s="827">
        <v>43103</v>
      </c>
      <c r="G42" s="827">
        <v>43117</v>
      </c>
      <c r="H42" s="827">
        <v>43117</v>
      </c>
      <c r="I42" s="828">
        <v>15981.6</v>
      </c>
      <c r="J42" s="828">
        <v>14199.64</v>
      </c>
      <c r="K42" s="829" t="s">
        <v>702</v>
      </c>
      <c r="L42" s="810" t="str">
        <f t="shared" si="8"/>
        <v>1/2018</v>
      </c>
      <c r="M42" s="835">
        <f>_xlfn.XLOOKUP(L42,'Série Histórica IPCA'!$N$313:$N$447,'Série Histórica IPCA'!$J$313:$J$447,0)</f>
        <v>1.5771793403682961</v>
      </c>
      <c r="N42" s="828">
        <f t="shared" si="9"/>
        <v>10133.026467534153</v>
      </c>
    </row>
    <row r="43" spans="3:21">
      <c r="C43" s="830" t="s">
        <v>691</v>
      </c>
      <c r="D43" s="831" t="s">
        <v>720</v>
      </c>
      <c r="E43" s="830" t="s">
        <v>718</v>
      </c>
      <c r="F43" s="832">
        <v>43102</v>
      </c>
      <c r="G43" s="832">
        <v>43117</v>
      </c>
      <c r="H43" s="832">
        <v>43117</v>
      </c>
      <c r="I43" s="833">
        <v>10654.41</v>
      </c>
      <c r="J43" s="833">
        <v>9466.4500000000007</v>
      </c>
      <c r="K43" s="834" t="s">
        <v>705</v>
      </c>
      <c r="L43" s="810" t="str">
        <f t="shared" si="8"/>
        <v>1/2018</v>
      </c>
      <c r="M43" s="835">
        <f>_xlfn.XLOOKUP(L43,'Série Histórica IPCA'!$N$313:$N$447,'Série Histórica IPCA'!$J$313:$J$447,0)</f>
        <v>1.5771793403682961</v>
      </c>
      <c r="N43" s="833">
        <f t="shared" si="9"/>
        <v>6755.3573187891416</v>
      </c>
    </row>
    <row r="44" spans="3:21">
      <c r="C44" s="830" t="s">
        <v>691</v>
      </c>
      <c r="D44" s="831" t="s">
        <v>721</v>
      </c>
      <c r="E44" s="830" t="s">
        <v>722</v>
      </c>
      <c r="F44" s="832">
        <v>43102</v>
      </c>
      <c r="G44" s="832">
        <v>43117</v>
      </c>
      <c r="H44" s="832">
        <v>43117</v>
      </c>
      <c r="I44" s="833">
        <v>17727.05</v>
      </c>
      <c r="J44" s="833">
        <v>15750.48</v>
      </c>
      <c r="K44" s="834" t="s">
        <v>705</v>
      </c>
      <c r="L44" s="810" t="str">
        <f t="shared" si="8"/>
        <v>1/2018</v>
      </c>
      <c r="M44" s="835">
        <f>_xlfn.XLOOKUP(L44,'Série Histórica IPCA'!$N$313:$N$447,'Série Histórica IPCA'!$J$313:$J$447,0)</f>
        <v>1.5771793403682961</v>
      </c>
      <c r="N44" s="833">
        <f t="shared" si="9"/>
        <v>11239.717352536747</v>
      </c>
    </row>
    <row r="45" spans="3:21">
      <c r="C45" s="825" t="s">
        <v>691</v>
      </c>
      <c r="D45" s="826" t="s">
        <v>723</v>
      </c>
      <c r="E45" s="825" t="s">
        <v>724</v>
      </c>
      <c r="F45" s="827">
        <v>43133</v>
      </c>
      <c r="G45" s="827">
        <v>43150</v>
      </c>
      <c r="H45" s="827">
        <v>43150</v>
      </c>
      <c r="I45" s="828">
        <v>58602.28</v>
      </c>
      <c r="J45" s="828">
        <v>52068.13</v>
      </c>
      <c r="K45" s="829" t="s">
        <v>702</v>
      </c>
      <c r="L45" s="810" t="str">
        <f t="shared" si="8"/>
        <v>2/2018</v>
      </c>
      <c r="M45" s="835">
        <f>_xlfn.XLOOKUP(L45,'Série Histórica IPCA'!$N$313:$N$447,'Série Histórica IPCA'!$J$313:$J$447,0)</f>
        <v>1.5822268567535323</v>
      </c>
      <c r="N45" s="828">
        <f t="shared" si="9"/>
        <v>37037.849376569291</v>
      </c>
    </row>
    <row r="46" spans="3:21">
      <c r="C46" s="825" t="s">
        <v>691</v>
      </c>
      <c r="D46" s="826" t="s">
        <v>725</v>
      </c>
      <c r="E46" s="825" t="s">
        <v>724</v>
      </c>
      <c r="F46" s="827">
        <v>43133</v>
      </c>
      <c r="G46" s="827">
        <v>43150</v>
      </c>
      <c r="H46" s="827">
        <v>43150</v>
      </c>
      <c r="I46" s="828">
        <v>35221.42</v>
      </c>
      <c r="J46" s="828">
        <v>31294.23</v>
      </c>
      <c r="K46" s="829" t="s">
        <v>702</v>
      </c>
      <c r="L46" s="810" t="str">
        <f t="shared" si="8"/>
        <v>2/2018</v>
      </c>
      <c r="M46" s="835">
        <f>_xlfn.XLOOKUP(L46,'Série Histórica IPCA'!$N$313:$N$447,'Série Histórica IPCA'!$J$313:$J$447,0)</f>
        <v>1.5822268567535323</v>
      </c>
      <c r="N46" s="828">
        <f t="shared" si="9"/>
        <v>22260.663728252297</v>
      </c>
    </row>
    <row r="47" spans="3:21">
      <c r="C47" s="825" t="s">
        <v>691</v>
      </c>
      <c r="D47" s="826" t="s">
        <v>726</v>
      </c>
      <c r="E47" s="825" t="s">
        <v>727</v>
      </c>
      <c r="F47" s="827">
        <v>43133</v>
      </c>
      <c r="G47" s="827">
        <v>43150</v>
      </c>
      <c r="H47" s="827">
        <v>43150</v>
      </c>
      <c r="I47" s="828">
        <v>15981.6</v>
      </c>
      <c r="J47" s="828">
        <v>14199.66</v>
      </c>
      <c r="K47" s="829" t="s">
        <v>702</v>
      </c>
      <c r="L47" s="810" t="str">
        <f t="shared" si="8"/>
        <v>2/2018</v>
      </c>
      <c r="M47" s="835">
        <f>_xlfn.XLOOKUP(L47,'Série Histórica IPCA'!$N$313:$N$447,'Série Histórica IPCA'!$J$313:$J$447,0)</f>
        <v>1.5822268567535323</v>
      </c>
      <c r="N47" s="828">
        <f t="shared" si="9"/>
        <v>10100.700750833923</v>
      </c>
      <c r="P47"/>
      <c r="Q47"/>
      <c r="R47"/>
      <c r="S47"/>
    </row>
    <row r="48" spans="3:21">
      <c r="C48" s="825" t="s">
        <v>691</v>
      </c>
      <c r="D48" s="826" t="s">
        <v>728</v>
      </c>
      <c r="E48" s="825" t="s">
        <v>727</v>
      </c>
      <c r="F48" s="827">
        <v>43133</v>
      </c>
      <c r="G48" s="827">
        <v>43150</v>
      </c>
      <c r="H48" s="827">
        <v>43150</v>
      </c>
      <c r="I48" s="828">
        <v>26590.58</v>
      </c>
      <c r="J48" s="828">
        <v>23625.73</v>
      </c>
      <c r="K48" s="829" t="s">
        <v>702</v>
      </c>
      <c r="L48" s="810" t="str">
        <f t="shared" si="8"/>
        <v>2/2018</v>
      </c>
      <c r="M48" s="835">
        <f>_xlfn.XLOOKUP(L48,'Série Histórica IPCA'!$N$313:$N$447,'Série Histórica IPCA'!$J$313:$J$447,0)</f>
        <v>1.5822268567535323</v>
      </c>
      <c r="N48" s="828">
        <f t="shared" si="9"/>
        <v>16805.794874800366</v>
      </c>
      <c r="P48"/>
      <c r="Q48"/>
      <c r="R48"/>
      <c r="S48"/>
    </row>
    <row r="49" spans="3:19">
      <c r="C49" s="830" t="s">
        <v>691</v>
      </c>
      <c r="D49" s="831" t="s">
        <v>729</v>
      </c>
      <c r="E49" s="830" t="s">
        <v>724</v>
      </c>
      <c r="F49" s="832">
        <v>43133</v>
      </c>
      <c r="G49" s="832">
        <v>43151</v>
      </c>
      <c r="H49" s="832">
        <v>43151</v>
      </c>
      <c r="I49" s="833">
        <v>23480.95</v>
      </c>
      <c r="J49" s="833">
        <v>20862.84</v>
      </c>
      <c r="K49" s="834" t="s">
        <v>705</v>
      </c>
      <c r="L49" s="810" t="str">
        <f t="shared" si="8"/>
        <v>2/2018</v>
      </c>
      <c r="M49" s="835">
        <f>_xlfn.XLOOKUP(L49,'Série Histórica IPCA'!$N$313:$N$447,'Série Histórica IPCA'!$J$313:$J$447,0)</f>
        <v>1.5822268567535323</v>
      </c>
      <c r="N49" s="833">
        <f t="shared" si="9"/>
        <v>14840.444592236934</v>
      </c>
      <c r="P49"/>
      <c r="Q49"/>
      <c r="R49"/>
      <c r="S49"/>
    </row>
    <row r="50" spans="3:19">
      <c r="C50" s="830" t="s">
        <v>691</v>
      </c>
      <c r="D50" s="831" t="s">
        <v>730</v>
      </c>
      <c r="E50" s="830" t="s">
        <v>724</v>
      </c>
      <c r="F50" s="832">
        <v>43133</v>
      </c>
      <c r="G50" s="832">
        <v>43151</v>
      </c>
      <c r="H50" s="832">
        <v>43151</v>
      </c>
      <c r="I50" s="833">
        <v>39068.19</v>
      </c>
      <c r="J50" s="833">
        <v>34712.1</v>
      </c>
      <c r="K50" s="834" t="s">
        <v>705</v>
      </c>
      <c r="L50" s="810" t="str">
        <f t="shared" si="8"/>
        <v>2/2018</v>
      </c>
      <c r="M50" s="835">
        <f>_xlfn.XLOOKUP(L50,'Série Histórica IPCA'!$N$313:$N$447,'Série Histórica IPCA'!$J$313:$J$447,0)</f>
        <v>1.5822268567535323</v>
      </c>
      <c r="N50" s="833">
        <f t="shared" si="9"/>
        <v>24691.90169111493</v>
      </c>
      <c r="P50"/>
      <c r="Q50"/>
      <c r="R50"/>
      <c r="S50"/>
    </row>
    <row r="51" spans="3:19">
      <c r="C51" s="830" t="s">
        <v>691</v>
      </c>
      <c r="D51" s="831" t="s">
        <v>731</v>
      </c>
      <c r="E51" s="830" t="s">
        <v>727</v>
      </c>
      <c r="F51" s="832">
        <v>43133</v>
      </c>
      <c r="G51" s="832">
        <v>43151</v>
      </c>
      <c r="H51" s="832">
        <v>43151</v>
      </c>
      <c r="I51" s="833">
        <v>17727.05</v>
      </c>
      <c r="J51" s="833">
        <v>15750.48</v>
      </c>
      <c r="K51" s="834" t="s">
        <v>705</v>
      </c>
      <c r="L51" s="810" t="str">
        <f t="shared" si="8"/>
        <v>2/2018</v>
      </c>
      <c r="M51" s="835">
        <f>_xlfn.XLOOKUP(L51,'Série Histórica IPCA'!$N$313:$N$447,'Série Histórica IPCA'!$J$313:$J$447,0)</f>
        <v>1.5822268567535323</v>
      </c>
      <c r="N51" s="833">
        <f t="shared" si="9"/>
        <v>11203.861143131506</v>
      </c>
      <c r="P51"/>
      <c r="Q51"/>
      <c r="R51"/>
      <c r="S51"/>
    </row>
    <row r="52" spans="3:19">
      <c r="C52" s="830" t="s">
        <v>691</v>
      </c>
      <c r="D52" s="831" t="s">
        <v>732</v>
      </c>
      <c r="E52" s="830" t="s">
        <v>727</v>
      </c>
      <c r="F52" s="832">
        <v>43133</v>
      </c>
      <c r="G52" s="832">
        <v>43151</v>
      </c>
      <c r="H52" s="832">
        <v>43151</v>
      </c>
      <c r="I52" s="833">
        <v>10654.41</v>
      </c>
      <c r="J52" s="833">
        <v>9466.44</v>
      </c>
      <c r="K52" s="834" t="s">
        <v>705</v>
      </c>
      <c r="L52" s="810" t="str">
        <f t="shared" si="8"/>
        <v>2/2018</v>
      </c>
      <c r="M52" s="835">
        <f>_xlfn.XLOOKUP(L52,'Série Histórica IPCA'!$N$313:$N$447,'Série Histórica IPCA'!$J$313:$J$447,0)</f>
        <v>1.5822268567535323</v>
      </c>
      <c r="N52" s="833">
        <f t="shared" si="9"/>
        <v>6733.8068207621545</v>
      </c>
      <c r="P52"/>
      <c r="Q52"/>
      <c r="R52"/>
      <c r="S52"/>
    </row>
    <row r="53" spans="3:19">
      <c r="C53" s="825" t="s">
        <v>691</v>
      </c>
      <c r="D53" s="826" t="s">
        <v>733</v>
      </c>
      <c r="E53" s="825" t="s">
        <v>734</v>
      </c>
      <c r="F53" s="827">
        <v>43167</v>
      </c>
      <c r="G53" s="827">
        <v>43180</v>
      </c>
      <c r="H53" s="827">
        <v>43180</v>
      </c>
      <c r="I53" s="828">
        <v>26993.38</v>
      </c>
      <c r="J53" s="828">
        <v>23983.62</v>
      </c>
      <c r="K53" s="829" t="s">
        <v>702</v>
      </c>
      <c r="L53" s="810" t="str">
        <f t="shared" si="8"/>
        <v>3/2018</v>
      </c>
      <c r="M53" s="835">
        <f>_xlfn.XLOOKUP(L53,'Série Histórica IPCA'!$N$313:$N$447,'Série Histórica IPCA'!$J$313:$J$447,0)</f>
        <v>1.583650269168887</v>
      </c>
      <c r="N53" s="828">
        <f t="shared" si="9"/>
        <v>17045.038620911142</v>
      </c>
      <c r="P53"/>
      <c r="Q53"/>
      <c r="R53"/>
      <c r="S53"/>
    </row>
    <row r="54" spans="3:19">
      <c r="C54" s="825" t="s">
        <v>691</v>
      </c>
      <c r="D54" s="826" t="s">
        <v>735</v>
      </c>
      <c r="E54" s="825" t="s">
        <v>734</v>
      </c>
      <c r="F54" s="827">
        <v>43167</v>
      </c>
      <c r="G54" s="827">
        <v>43180</v>
      </c>
      <c r="H54" s="827">
        <v>43180</v>
      </c>
      <c r="I54" s="828">
        <v>16223.7</v>
      </c>
      <c r="J54" s="828">
        <v>14414.76</v>
      </c>
      <c r="K54" s="829" t="s">
        <v>702</v>
      </c>
      <c r="L54" s="810" t="str">
        <f t="shared" si="8"/>
        <v>3/2018</v>
      </c>
      <c r="M54" s="835">
        <f>_xlfn.XLOOKUP(L54,'Série Histórica IPCA'!$N$313:$N$447,'Série Histórica IPCA'!$J$313:$J$447,0)</f>
        <v>1.583650269168887</v>
      </c>
      <c r="N54" s="828">
        <f t="shared" si="9"/>
        <v>10244.496727496744</v>
      </c>
      <c r="P54"/>
      <c r="Q54"/>
      <c r="R54"/>
      <c r="S54"/>
    </row>
    <row r="55" spans="3:19">
      <c r="C55" s="830" t="s">
        <v>691</v>
      </c>
      <c r="D55" s="831" t="s">
        <v>736</v>
      </c>
      <c r="E55" s="830" t="s">
        <v>734</v>
      </c>
      <c r="F55" s="832">
        <v>43166</v>
      </c>
      <c r="G55" s="832">
        <v>43180</v>
      </c>
      <c r="H55" s="832">
        <v>43180</v>
      </c>
      <c r="I55" s="833">
        <v>17995.599999999999</v>
      </c>
      <c r="J55" s="833">
        <v>15989.09</v>
      </c>
      <c r="K55" s="834" t="s">
        <v>705</v>
      </c>
      <c r="L55" s="810" t="str">
        <f t="shared" si="8"/>
        <v>3/2018</v>
      </c>
      <c r="M55" s="835">
        <f>_xlfn.XLOOKUP(L55,'Série Histórica IPCA'!$N$313:$N$447,'Série Histórica IPCA'!$J$313:$J$447,0)</f>
        <v>1.583650269168887</v>
      </c>
      <c r="N55" s="833">
        <f t="shared" si="9"/>
        <v>11363.367499974753</v>
      </c>
      <c r="P55"/>
      <c r="Q55"/>
      <c r="R55"/>
      <c r="S55"/>
    </row>
    <row r="56" spans="3:19">
      <c r="C56" s="830" t="s">
        <v>691</v>
      </c>
      <c r="D56" s="831" t="s">
        <v>737</v>
      </c>
      <c r="E56" s="830" t="s">
        <v>734</v>
      </c>
      <c r="F56" s="832">
        <v>43166</v>
      </c>
      <c r="G56" s="832">
        <v>43181</v>
      </c>
      <c r="H56" s="832">
        <v>43181</v>
      </c>
      <c r="I56" s="833">
        <v>10815.8</v>
      </c>
      <c r="J56" s="833">
        <v>9609.84</v>
      </c>
      <c r="K56" s="834" t="s">
        <v>705</v>
      </c>
      <c r="L56" s="810" t="str">
        <f t="shared" si="8"/>
        <v>3/2018</v>
      </c>
      <c r="M56" s="835">
        <f>_xlfn.XLOOKUP(L56,'Série Histórica IPCA'!$N$313:$N$447,'Série Histórica IPCA'!$J$313:$J$447,0)</f>
        <v>1.583650269168887</v>
      </c>
      <c r="N56" s="833">
        <f t="shared" si="9"/>
        <v>6829.6644849978284</v>
      </c>
      <c r="P56"/>
      <c r="Q56"/>
      <c r="R56"/>
      <c r="S56"/>
    </row>
    <row r="57" spans="3:19">
      <c r="C57" s="825" t="s">
        <v>691</v>
      </c>
      <c r="D57" s="826" t="s">
        <v>738</v>
      </c>
      <c r="E57" s="825" t="s">
        <v>739</v>
      </c>
      <c r="F57" s="827">
        <v>43192</v>
      </c>
      <c r="G57" s="827">
        <v>43206</v>
      </c>
      <c r="H57" s="827">
        <v>43206</v>
      </c>
      <c r="I57" s="828">
        <v>26590.58</v>
      </c>
      <c r="J57" s="828">
        <v>23625.71</v>
      </c>
      <c r="K57" s="829" t="s">
        <v>702</v>
      </c>
      <c r="L57" s="810" t="str">
        <f t="shared" si="8"/>
        <v>4/2018</v>
      </c>
      <c r="M57" s="835">
        <f>_xlfn.XLOOKUP(L57,'Série Histórica IPCA'!$N$313:$N$447,'Série Histórica IPCA'!$J$313:$J$447,0)</f>
        <v>1.5871336312370254</v>
      </c>
      <c r="N57" s="828">
        <f t="shared" si="9"/>
        <v>16753.838162496169</v>
      </c>
      <c r="P57"/>
      <c r="Q57"/>
      <c r="R57"/>
      <c r="S57"/>
    </row>
    <row r="58" spans="3:19">
      <c r="C58" s="825" t="s">
        <v>691</v>
      </c>
      <c r="D58" s="826" t="s">
        <v>740</v>
      </c>
      <c r="E58" s="825" t="s">
        <v>741</v>
      </c>
      <c r="F58" s="827">
        <v>43192</v>
      </c>
      <c r="G58" s="827">
        <v>43206</v>
      </c>
      <c r="H58" s="827">
        <v>43206</v>
      </c>
      <c r="I58" s="828">
        <v>15981.6</v>
      </c>
      <c r="J58" s="828">
        <v>14199.66</v>
      </c>
      <c r="K58" s="829" t="s">
        <v>702</v>
      </c>
      <c r="L58" s="810" t="str">
        <f t="shared" si="8"/>
        <v>4/2018</v>
      </c>
      <c r="M58" s="835">
        <f>_xlfn.XLOOKUP(L58,'Série Histórica IPCA'!$N$313:$N$447,'Série Histórica IPCA'!$J$313:$J$447,0)</f>
        <v>1.5871336312370254</v>
      </c>
      <c r="N58" s="828">
        <f t="shared" si="9"/>
        <v>10069.473474356288</v>
      </c>
      <c r="P58"/>
      <c r="Q58"/>
      <c r="R58"/>
      <c r="S58"/>
    </row>
    <row r="59" spans="3:19">
      <c r="C59" s="830" t="s">
        <v>691</v>
      </c>
      <c r="D59" s="831" t="s">
        <v>742</v>
      </c>
      <c r="E59" s="830" t="s">
        <v>743</v>
      </c>
      <c r="F59" s="832">
        <v>43192</v>
      </c>
      <c r="G59" s="832">
        <v>43206</v>
      </c>
      <c r="H59" s="832">
        <v>43206</v>
      </c>
      <c r="I59" s="833">
        <v>17727.05</v>
      </c>
      <c r="J59" s="833">
        <v>15750.48</v>
      </c>
      <c r="K59" s="834" t="s">
        <v>705</v>
      </c>
      <c r="L59" s="810" t="str">
        <f t="shared" si="8"/>
        <v>4/2018</v>
      </c>
      <c r="M59" s="835">
        <f>_xlfn.XLOOKUP(L59,'Série Histórica IPCA'!$N$313:$N$447,'Série Histórica IPCA'!$J$313:$J$447,0)</f>
        <v>1.5871336312370254</v>
      </c>
      <c r="N59" s="833">
        <f t="shared" si="9"/>
        <v>11169.223341441884</v>
      </c>
      <c r="P59"/>
      <c r="Q59"/>
      <c r="R59"/>
      <c r="S59"/>
    </row>
    <row r="60" spans="3:19">
      <c r="C60" s="830" t="s">
        <v>691</v>
      </c>
      <c r="D60" s="831" t="s">
        <v>744</v>
      </c>
      <c r="E60" s="830" t="s">
        <v>745</v>
      </c>
      <c r="F60" s="832">
        <v>43192</v>
      </c>
      <c r="G60" s="832">
        <v>43206</v>
      </c>
      <c r="H60" s="832">
        <v>43206</v>
      </c>
      <c r="I60" s="833">
        <v>10654.41</v>
      </c>
      <c r="J60" s="833">
        <v>9466.4500000000007</v>
      </c>
      <c r="K60" s="834" t="s">
        <v>705</v>
      </c>
      <c r="L60" s="810" t="str">
        <f t="shared" si="8"/>
        <v>4/2018</v>
      </c>
      <c r="M60" s="835">
        <f>_xlfn.XLOOKUP(L60,'Série Histórica IPCA'!$N$313:$N$447,'Série Histórica IPCA'!$J$313:$J$447,0)</f>
        <v>1.5871336312370254</v>
      </c>
      <c r="N60" s="833">
        <f t="shared" si="9"/>
        <v>6712.9886169042129</v>
      </c>
      <c r="P60"/>
      <c r="Q60"/>
      <c r="R60"/>
      <c r="S60"/>
    </row>
    <row r="61" spans="3:19">
      <c r="C61" s="825" t="s">
        <v>691</v>
      </c>
      <c r="D61" s="826" t="s">
        <v>746</v>
      </c>
      <c r="E61" s="825" t="s">
        <v>747</v>
      </c>
      <c r="F61" s="827">
        <v>43223</v>
      </c>
      <c r="G61" s="827">
        <v>43234</v>
      </c>
      <c r="H61" s="827">
        <v>43234</v>
      </c>
      <c r="I61" s="828">
        <v>26590.58</v>
      </c>
      <c r="J61" s="828">
        <v>23625.73</v>
      </c>
      <c r="K61" s="829" t="s">
        <v>702</v>
      </c>
      <c r="L61" s="810" t="str">
        <f t="shared" si="8"/>
        <v>5/2018</v>
      </c>
      <c r="M61" s="835">
        <f>_xlfn.XLOOKUP(L61,'Série Histórica IPCA'!$N$313:$N$447,'Série Histórica IPCA'!$J$313:$J$447,0)</f>
        <v>1.5934830102133839</v>
      </c>
      <c r="N61" s="828">
        <f t="shared" si="9"/>
        <v>16687.080960115945</v>
      </c>
      <c r="P61"/>
      <c r="Q61"/>
      <c r="R61"/>
      <c r="S61"/>
    </row>
    <row r="62" spans="3:19">
      <c r="C62" s="825" t="s">
        <v>691</v>
      </c>
      <c r="D62" s="826" t="s">
        <v>748</v>
      </c>
      <c r="E62" s="825" t="s">
        <v>747</v>
      </c>
      <c r="F62" s="827">
        <v>43223</v>
      </c>
      <c r="G62" s="827">
        <v>43234</v>
      </c>
      <c r="H62" s="827">
        <v>43234</v>
      </c>
      <c r="I62" s="828">
        <v>15981.6</v>
      </c>
      <c r="J62" s="828">
        <v>14199.64</v>
      </c>
      <c r="K62" s="829" t="s">
        <v>702</v>
      </c>
      <c r="L62" s="810" t="str">
        <f t="shared" si="8"/>
        <v>5/2018</v>
      </c>
      <c r="M62" s="835">
        <f>_xlfn.XLOOKUP(L62,'Série Histórica IPCA'!$N$313:$N$447,'Série Histórica IPCA'!$J$313:$J$447,0)</f>
        <v>1.5934830102133839</v>
      </c>
      <c r="N62" s="828">
        <f t="shared" si="9"/>
        <v>10029.350735192274</v>
      </c>
      <c r="P62"/>
      <c r="Q62"/>
    </row>
    <row r="63" spans="3:19">
      <c r="C63" s="830" t="s">
        <v>691</v>
      </c>
      <c r="D63" s="831" t="s">
        <v>749</v>
      </c>
      <c r="E63" s="830" t="s">
        <v>747</v>
      </c>
      <c r="F63" s="832">
        <v>43223</v>
      </c>
      <c r="G63" s="832">
        <v>43234</v>
      </c>
      <c r="H63" s="832">
        <v>43234</v>
      </c>
      <c r="I63" s="833">
        <v>17727.05</v>
      </c>
      <c r="J63" s="833">
        <v>15750.48</v>
      </c>
      <c r="K63" s="834" t="s">
        <v>705</v>
      </c>
      <c r="L63" s="810" t="str">
        <f t="shared" si="8"/>
        <v>5/2018</v>
      </c>
      <c r="M63" s="835">
        <f>_xlfn.XLOOKUP(L63,'Série Histórica IPCA'!$N$313:$N$447,'Série Histórica IPCA'!$J$313:$J$447,0)</f>
        <v>1.5934830102133839</v>
      </c>
      <c r="N63" s="833">
        <f t="shared" si="9"/>
        <v>11124.718548223595</v>
      </c>
      <c r="P63"/>
      <c r="Q63"/>
    </row>
    <row r="64" spans="3:19">
      <c r="C64" s="830" t="s">
        <v>691</v>
      </c>
      <c r="D64" s="831" t="s">
        <v>750</v>
      </c>
      <c r="E64" s="830" t="s">
        <v>747</v>
      </c>
      <c r="F64" s="832">
        <v>43223</v>
      </c>
      <c r="G64" s="832">
        <v>43234</v>
      </c>
      <c r="H64" s="832">
        <v>43234</v>
      </c>
      <c r="I64" s="833">
        <v>10654.41</v>
      </c>
      <c r="J64" s="833">
        <v>9466.4500000000007</v>
      </c>
      <c r="K64" s="834" t="s">
        <v>705</v>
      </c>
      <c r="L64" s="810" t="str">
        <f t="shared" si="8"/>
        <v>5/2018</v>
      </c>
      <c r="M64" s="835">
        <f>_xlfn.XLOOKUP(L64,'Série Histórica IPCA'!$N$313:$N$447,'Série Histórica IPCA'!$J$313:$J$447,0)</f>
        <v>1.5934830102133839</v>
      </c>
      <c r="N64" s="833">
        <f t="shared" si="9"/>
        <v>6686.2400990226206</v>
      </c>
      <c r="P64"/>
      <c r="Q64"/>
    </row>
    <row r="65" spans="3:17">
      <c r="C65" s="825" t="s">
        <v>691</v>
      </c>
      <c r="D65" s="826" t="s">
        <v>751</v>
      </c>
      <c r="E65" s="825" t="s">
        <v>752</v>
      </c>
      <c r="F65" s="827">
        <v>43256</v>
      </c>
      <c r="G65" s="827">
        <v>43269</v>
      </c>
      <c r="H65" s="827">
        <v>43269</v>
      </c>
      <c r="I65" s="828">
        <v>15981.6</v>
      </c>
      <c r="J65" s="828">
        <v>14199.65</v>
      </c>
      <c r="K65" s="829" t="s">
        <v>702</v>
      </c>
      <c r="L65" s="810" t="str">
        <f t="shared" si="8"/>
        <v>6/2018</v>
      </c>
      <c r="M65" s="835">
        <f>_xlfn.XLOOKUP(L65,'Série Histórica IPCA'!$N$313:$N$447,'Série Histórica IPCA'!$J$313:$J$447,0)</f>
        <v>1.6135611219688513</v>
      </c>
      <c r="N65" s="828">
        <f t="shared" si="9"/>
        <v>9904.5519766238613</v>
      </c>
      <c r="P65"/>
      <c r="Q65"/>
    </row>
    <row r="66" spans="3:17">
      <c r="C66" s="825" t="s">
        <v>691</v>
      </c>
      <c r="D66" s="826" t="s">
        <v>753</v>
      </c>
      <c r="E66" s="825" t="s">
        <v>752</v>
      </c>
      <c r="F66" s="827">
        <v>43256</v>
      </c>
      <c r="G66" s="827">
        <v>43269</v>
      </c>
      <c r="H66" s="827">
        <v>43269</v>
      </c>
      <c r="I66" s="828">
        <v>26590.58</v>
      </c>
      <c r="J66" s="828">
        <v>23625.72</v>
      </c>
      <c r="K66" s="829" t="s">
        <v>702</v>
      </c>
      <c r="L66" s="810" t="str">
        <f t="shared" si="8"/>
        <v>6/2018</v>
      </c>
      <c r="M66" s="835">
        <f>_xlfn.XLOOKUP(L66,'Série Histórica IPCA'!$N$313:$N$447,'Série Histórica IPCA'!$J$313:$J$447,0)</f>
        <v>1.6135611219688513</v>
      </c>
      <c r="N66" s="828">
        <f t="shared" si="9"/>
        <v>16479.437709526886</v>
      </c>
      <c r="P66"/>
      <c r="Q66"/>
    </row>
    <row r="67" spans="3:17">
      <c r="C67" s="830" t="s">
        <v>691</v>
      </c>
      <c r="D67" s="831" t="s">
        <v>754</v>
      </c>
      <c r="E67" s="830" t="s">
        <v>752</v>
      </c>
      <c r="F67" s="832">
        <v>43256</v>
      </c>
      <c r="G67" s="832">
        <v>43269</v>
      </c>
      <c r="H67" s="832">
        <v>43269</v>
      </c>
      <c r="I67" s="833">
        <v>17727.05</v>
      </c>
      <c r="J67" s="833">
        <v>15750.48</v>
      </c>
      <c r="K67" s="834" t="s">
        <v>705</v>
      </c>
      <c r="L67" s="810" t="str">
        <f t="shared" si="8"/>
        <v>6/2018</v>
      </c>
      <c r="M67" s="835">
        <f>_xlfn.XLOOKUP(L67,'Série Histórica IPCA'!$N$313:$N$447,'Série Histórica IPCA'!$J$313:$J$447,0)</f>
        <v>1.6135611219688513</v>
      </c>
      <c r="N67" s="833">
        <f t="shared" si="9"/>
        <v>10986.289740527231</v>
      </c>
      <c r="P67"/>
      <c r="Q67"/>
    </row>
    <row r="68" spans="3:17">
      <c r="C68" s="830" t="s">
        <v>691</v>
      </c>
      <c r="D68" s="831" t="s">
        <v>755</v>
      </c>
      <c r="E68" s="830" t="s">
        <v>752</v>
      </c>
      <c r="F68" s="832">
        <v>43256</v>
      </c>
      <c r="G68" s="832">
        <v>43269</v>
      </c>
      <c r="H68" s="832">
        <v>43269</v>
      </c>
      <c r="I68" s="833">
        <v>10654.41</v>
      </c>
      <c r="J68" s="833">
        <v>9466.4500000000007</v>
      </c>
      <c r="K68" s="834" t="s">
        <v>705</v>
      </c>
      <c r="L68" s="810" t="str">
        <f t="shared" si="8"/>
        <v>6/2018</v>
      </c>
      <c r="M68" s="835">
        <f>_xlfn.XLOOKUP(L68,'Série Histórica IPCA'!$N$313:$N$447,'Série Histórica IPCA'!$J$313:$J$447,0)</f>
        <v>1.6135611219688513</v>
      </c>
      <c r="N68" s="833">
        <f t="shared" si="9"/>
        <v>6603.0408485546523</v>
      </c>
      <c r="P68"/>
      <c r="Q68"/>
    </row>
    <row r="69" spans="3:17">
      <c r="C69" s="825" t="s">
        <v>691</v>
      </c>
      <c r="D69" s="826" t="s">
        <v>756</v>
      </c>
      <c r="E69" s="825" t="s">
        <v>757</v>
      </c>
      <c r="F69" s="827">
        <v>43286</v>
      </c>
      <c r="G69" s="827">
        <v>43301</v>
      </c>
      <c r="H69" s="827">
        <v>43301</v>
      </c>
      <c r="I69" s="828">
        <v>43202.03</v>
      </c>
      <c r="J69" s="828">
        <v>38385.019999999997</v>
      </c>
      <c r="K69" s="829" t="s">
        <v>702</v>
      </c>
      <c r="L69" s="810" t="str">
        <f t="shared" si="8"/>
        <v>7/2018</v>
      </c>
      <c r="M69" s="835">
        <f>_xlfn.XLOOKUP(L69,'Série Histórica IPCA'!$N$313:$N$447,'Série Histórica IPCA'!$J$313:$J$447,0)</f>
        <v>1.6188869234779881</v>
      </c>
      <c r="N69" s="828">
        <f t="shared" si="9"/>
        <v>26686.255459513824</v>
      </c>
      <c r="P69"/>
      <c r="Q69"/>
    </row>
    <row r="70" spans="3:17">
      <c r="C70" s="825" t="s">
        <v>691</v>
      </c>
      <c r="D70" s="826" t="s">
        <v>758</v>
      </c>
      <c r="E70" s="825" t="s">
        <v>757</v>
      </c>
      <c r="F70" s="827">
        <v>43286</v>
      </c>
      <c r="G70" s="827">
        <v>43301</v>
      </c>
      <c r="H70" s="827">
        <v>43301</v>
      </c>
      <c r="I70" s="828">
        <v>25965.49</v>
      </c>
      <c r="J70" s="828">
        <v>23070.34</v>
      </c>
      <c r="K70" s="829" t="s">
        <v>702</v>
      </c>
      <c r="L70" s="810" t="str">
        <f t="shared" si="8"/>
        <v>7/2018</v>
      </c>
      <c r="M70" s="835">
        <f>_xlfn.XLOOKUP(L70,'Série Histórica IPCA'!$N$313:$N$447,'Série Histórica IPCA'!$J$313:$J$447,0)</f>
        <v>1.6188869234779881</v>
      </c>
      <c r="N70" s="828">
        <f t="shared" si="9"/>
        <v>16039.100460590664</v>
      </c>
      <c r="P70"/>
      <c r="Q70"/>
    </row>
    <row r="71" spans="3:17">
      <c r="C71" s="830" t="s">
        <v>691</v>
      </c>
      <c r="D71" s="831" t="s">
        <v>759</v>
      </c>
      <c r="E71" s="830" t="s">
        <v>760</v>
      </c>
      <c r="F71" s="832">
        <v>43285</v>
      </c>
      <c r="G71" s="832">
        <v>43301</v>
      </c>
      <c r="H71" s="832">
        <v>43301</v>
      </c>
      <c r="I71" s="833">
        <v>28801.360000000001</v>
      </c>
      <c r="J71" s="833">
        <v>25590.02</v>
      </c>
      <c r="K71" s="834" t="s">
        <v>705</v>
      </c>
      <c r="L71" s="810" t="str">
        <f t="shared" si="8"/>
        <v>7/2018</v>
      </c>
      <c r="M71" s="835">
        <f>_xlfn.XLOOKUP(L71,'Série Histórica IPCA'!$N$313:$N$447,'Série Histórica IPCA'!$J$313:$J$447,0)</f>
        <v>1.6188869234779881</v>
      </c>
      <c r="N71" s="833">
        <f t="shared" si="9"/>
        <v>17790.841091065005</v>
      </c>
      <c r="P71"/>
      <c r="Q71"/>
    </row>
    <row r="72" spans="3:17">
      <c r="C72" s="830" t="s">
        <v>691</v>
      </c>
      <c r="D72" s="831" t="s">
        <v>761</v>
      </c>
      <c r="E72" s="830" t="s">
        <v>760</v>
      </c>
      <c r="F72" s="832">
        <v>43285</v>
      </c>
      <c r="G72" s="832">
        <v>43301</v>
      </c>
      <c r="H72" s="832">
        <v>43301</v>
      </c>
      <c r="I72" s="833">
        <v>17310.330000000002</v>
      </c>
      <c r="J72" s="833">
        <v>15380.24</v>
      </c>
      <c r="K72" s="834" t="s">
        <v>705</v>
      </c>
      <c r="L72" s="810" t="str">
        <f t="shared" si="8"/>
        <v>7/2018</v>
      </c>
      <c r="M72" s="835">
        <f>_xlfn.XLOOKUP(L72,'Série Histórica IPCA'!$N$313:$N$447,'Série Histórica IPCA'!$J$313:$J$447,0)</f>
        <v>1.6188869234779881</v>
      </c>
      <c r="N72" s="833">
        <f t="shared" si="9"/>
        <v>10692.73569942167</v>
      </c>
      <c r="P72"/>
      <c r="Q72"/>
    </row>
    <row r="73" spans="3:17">
      <c r="C73" s="830" t="s">
        <v>691</v>
      </c>
      <c r="D73" s="831" t="s">
        <v>762</v>
      </c>
      <c r="E73" s="836" t="s">
        <v>763</v>
      </c>
      <c r="F73" s="837">
        <v>43291</v>
      </c>
      <c r="G73" s="837">
        <v>43304</v>
      </c>
      <c r="H73" s="837">
        <v>43304</v>
      </c>
      <c r="I73" s="833">
        <v>54434.080000000002</v>
      </c>
      <c r="J73" s="833">
        <v>53263.75</v>
      </c>
      <c r="K73" s="834" t="s">
        <v>1449</v>
      </c>
      <c r="L73" s="810" t="str">
        <f t="shared" si="8"/>
        <v>7/2018</v>
      </c>
      <c r="M73" s="835">
        <f>_xlfn.XLOOKUP(L73,'Série Histórica IPCA'!$N$313:$N$447,'Série Histórica IPCA'!$J$313:$J$447,0)</f>
        <v>1.6188869234779881</v>
      </c>
      <c r="N73" s="833">
        <f t="shared" si="9"/>
        <v>33624.386737929039</v>
      </c>
      <c r="P73"/>
      <c r="Q73"/>
    </row>
    <row r="74" spans="3:17">
      <c r="C74" s="838" t="s">
        <v>691</v>
      </c>
      <c r="D74" s="826" t="s">
        <v>764</v>
      </c>
      <c r="E74" s="838" t="s">
        <v>765</v>
      </c>
      <c r="F74" s="839">
        <v>43318</v>
      </c>
      <c r="G74" s="839">
        <v>43336</v>
      </c>
      <c r="H74" s="839">
        <v>43336</v>
      </c>
      <c r="I74" s="828">
        <v>30092.59</v>
      </c>
      <c r="J74" s="828">
        <v>26737.279999999999</v>
      </c>
      <c r="K74" s="829" t="s">
        <v>702</v>
      </c>
      <c r="L74" s="810" t="str">
        <f t="shared" si="8"/>
        <v>8/2018</v>
      </c>
      <c r="M74" s="835">
        <f>_xlfn.XLOOKUP(L74,'Série Histórica IPCA'!$N$313:$N$447,'Série Histórica IPCA'!$J$313:$J$447,0)</f>
        <v>1.6174315242667827</v>
      </c>
      <c r="N74" s="828">
        <f t="shared" si="9"/>
        <v>18605.170944495861</v>
      </c>
      <c r="P74"/>
      <c r="Q74"/>
    </row>
    <row r="75" spans="3:17">
      <c r="C75" s="838" t="s">
        <v>691</v>
      </c>
      <c r="D75" s="826" t="s">
        <v>766</v>
      </c>
      <c r="E75" s="838" t="s">
        <v>765</v>
      </c>
      <c r="F75" s="839">
        <v>43318</v>
      </c>
      <c r="G75" s="839">
        <v>43336</v>
      </c>
      <c r="H75" s="839">
        <v>43336</v>
      </c>
      <c r="I75" s="828">
        <v>18086.39</v>
      </c>
      <c r="J75" s="828">
        <v>16069.74</v>
      </c>
      <c r="K75" s="829" t="s">
        <v>702</v>
      </c>
      <c r="L75" s="810" t="str">
        <f t="shared" si="8"/>
        <v>8/2018</v>
      </c>
      <c r="M75" s="835">
        <f>_xlfn.XLOOKUP(L75,'Série Histórica IPCA'!$N$313:$N$447,'Série Histórica IPCA'!$J$313:$J$447,0)</f>
        <v>1.6174315242667827</v>
      </c>
      <c r="N75" s="828">
        <f t="shared" si="9"/>
        <v>11182.167361427531</v>
      </c>
      <c r="P75"/>
      <c r="Q75"/>
    </row>
    <row r="76" spans="3:17">
      <c r="C76" s="830" t="s">
        <v>691</v>
      </c>
      <c r="D76" s="831" t="s">
        <v>767</v>
      </c>
      <c r="E76" s="836" t="s">
        <v>768</v>
      </c>
      <c r="F76" s="837">
        <v>43318</v>
      </c>
      <c r="G76" s="837">
        <v>43336</v>
      </c>
      <c r="H76" s="837">
        <v>43336</v>
      </c>
      <c r="I76" s="833">
        <v>12057.6</v>
      </c>
      <c r="J76" s="833">
        <v>10713.19</v>
      </c>
      <c r="K76" s="834" t="s">
        <v>705</v>
      </c>
      <c r="L76" s="810" t="str">
        <f t="shared" si="8"/>
        <v>8/2018</v>
      </c>
      <c r="M76" s="835">
        <f>_xlfn.XLOOKUP(L76,'Série Histórica IPCA'!$N$313:$N$447,'Série Histórica IPCA'!$J$313:$J$447,0)</f>
        <v>1.6174315242667827</v>
      </c>
      <c r="N76" s="833">
        <f t="shared" si="9"/>
        <v>7454.782362712991</v>
      </c>
      <c r="P76"/>
      <c r="Q76"/>
    </row>
    <row r="77" spans="3:17">
      <c r="C77" s="830" t="s">
        <v>691</v>
      </c>
      <c r="D77" s="831" t="s">
        <v>769</v>
      </c>
      <c r="E77" s="836" t="s">
        <v>768</v>
      </c>
      <c r="F77" s="837">
        <v>43318</v>
      </c>
      <c r="G77" s="837">
        <v>43336</v>
      </c>
      <c r="H77" s="837">
        <v>43336</v>
      </c>
      <c r="I77" s="833">
        <v>20061.72</v>
      </c>
      <c r="J77" s="833">
        <v>17824.830000000002</v>
      </c>
      <c r="K77" s="834" t="s">
        <v>705</v>
      </c>
      <c r="L77" s="810" t="str">
        <f t="shared" si="8"/>
        <v>8/2018</v>
      </c>
      <c r="M77" s="835">
        <f>_xlfn.XLOOKUP(L77,'Série Histórica IPCA'!$N$313:$N$447,'Série Histórica IPCA'!$J$313:$J$447,0)</f>
        <v>1.6174315242667827</v>
      </c>
      <c r="N77" s="833">
        <f t="shared" si="9"/>
        <v>12403.443174569273</v>
      </c>
      <c r="P77"/>
      <c r="Q77"/>
    </row>
    <row r="78" spans="3:17">
      <c r="C78" s="830" t="s">
        <v>691</v>
      </c>
      <c r="D78" s="831" t="s">
        <v>770</v>
      </c>
      <c r="E78" s="836" t="s">
        <v>771</v>
      </c>
      <c r="F78" s="837">
        <v>43417</v>
      </c>
      <c r="G78" s="837">
        <v>43437</v>
      </c>
      <c r="H78" s="837">
        <v>43437</v>
      </c>
      <c r="I78" s="833">
        <v>177816</v>
      </c>
      <c r="J78" s="833">
        <v>173992.95999999999</v>
      </c>
      <c r="K78" s="834" t="s">
        <v>1449</v>
      </c>
      <c r="L78" s="810" t="str">
        <f t="shared" si="8"/>
        <v>12/2018</v>
      </c>
      <c r="M78" s="835">
        <f>_xlfn.XLOOKUP(L78,'Série Histórica IPCA'!$N$313:$N$447,'Série Histórica IPCA'!$J$313:$J$447,0)</f>
        <v>1.6315217078390041</v>
      </c>
      <c r="N78" s="833">
        <f t="shared" si="9"/>
        <v>108987.8235426743</v>
      </c>
      <c r="P78"/>
      <c r="Q78"/>
    </row>
    <row r="79" spans="3:17">
      <c r="C79" s="838" t="s">
        <v>691</v>
      </c>
      <c r="D79" s="826" t="s">
        <v>772</v>
      </c>
      <c r="E79" s="838" t="s">
        <v>773</v>
      </c>
      <c r="F79" s="839">
        <v>43437</v>
      </c>
      <c r="G79" s="839">
        <v>43468</v>
      </c>
      <c r="H79" s="839">
        <v>43468</v>
      </c>
      <c r="I79" s="828">
        <v>50081.97</v>
      </c>
      <c r="J79" s="828">
        <v>44497.83</v>
      </c>
      <c r="K79" s="829" t="s">
        <v>702</v>
      </c>
      <c r="L79" s="810" t="str">
        <f t="shared" si="8"/>
        <v>1/2019</v>
      </c>
      <c r="M79" s="835">
        <f>_xlfn.XLOOKUP(L79,'Série Histórica IPCA'!$N$313:$N$447,'Série Histórica IPCA'!$J$313:$J$447,0)</f>
        <v>1.6367419529218339</v>
      </c>
      <c r="N79" s="828">
        <f t="shared" si="9"/>
        <v>30598.574143343762</v>
      </c>
      <c r="P79"/>
      <c r="Q79"/>
    </row>
    <row r="80" spans="3:17">
      <c r="C80" s="838" t="s">
        <v>691</v>
      </c>
      <c r="D80" s="826" t="s">
        <v>774</v>
      </c>
      <c r="E80" s="838" t="s">
        <v>773</v>
      </c>
      <c r="F80" s="839">
        <v>43437</v>
      </c>
      <c r="G80" s="839">
        <v>43468</v>
      </c>
      <c r="H80" s="839">
        <v>43468</v>
      </c>
      <c r="I80" s="828">
        <v>30100.51</v>
      </c>
      <c r="J80" s="828">
        <v>26383.09</v>
      </c>
      <c r="K80" s="829" t="s">
        <v>702</v>
      </c>
      <c r="L80" s="810" t="str">
        <f t="shared" si="8"/>
        <v>1/2019</v>
      </c>
      <c r="M80" s="835">
        <f>_xlfn.XLOOKUP(L80,'Série Histórica IPCA'!$N$313:$N$447,'Série Histórica IPCA'!$J$313:$J$447,0)</f>
        <v>1.6367419529218339</v>
      </c>
      <c r="N80" s="828">
        <f t="shared" si="9"/>
        <v>18390.504346922862</v>
      </c>
      <c r="P80"/>
      <c r="Q80"/>
    </row>
    <row r="81" spans="3:17">
      <c r="C81" s="838" t="s">
        <v>691</v>
      </c>
      <c r="D81" s="826" t="s">
        <v>775</v>
      </c>
      <c r="E81" s="838" t="s">
        <v>776</v>
      </c>
      <c r="F81" s="839">
        <v>43437</v>
      </c>
      <c r="G81" s="839">
        <v>43468</v>
      </c>
      <c r="H81" s="839">
        <v>43468</v>
      </c>
      <c r="I81" s="828">
        <v>1801.36</v>
      </c>
      <c r="J81" s="828">
        <v>1578.9</v>
      </c>
      <c r="K81" s="829" t="s">
        <v>702</v>
      </c>
      <c r="L81" s="810" t="str">
        <f t="shared" si="8"/>
        <v>1/2019</v>
      </c>
      <c r="M81" s="835">
        <f>_xlfn.XLOOKUP(L81,'Série Histórica IPCA'!$N$313:$N$447,'Série Histórica IPCA'!$J$313:$J$447,0)</f>
        <v>1.6367419529218339</v>
      </c>
      <c r="N81" s="828">
        <f t="shared" si="9"/>
        <v>1100.5766649924856</v>
      </c>
      <c r="P81"/>
      <c r="Q81"/>
    </row>
    <row r="82" spans="3:17">
      <c r="C82" s="838" t="s">
        <v>691</v>
      </c>
      <c r="D82" s="826" t="s">
        <v>777</v>
      </c>
      <c r="E82" s="838" t="s">
        <v>776</v>
      </c>
      <c r="F82" s="839">
        <v>43437</v>
      </c>
      <c r="G82" s="839">
        <v>43468</v>
      </c>
      <c r="H82" s="839">
        <v>43468</v>
      </c>
      <c r="I82" s="828">
        <v>2997.13</v>
      </c>
      <c r="J82" s="828">
        <v>2662.94</v>
      </c>
      <c r="K82" s="829" t="s">
        <v>702</v>
      </c>
      <c r="L82" s="810" t="str">
        <f t="shared" si="8"/>
        <v>1/2019</v>
      </c>
      <c r="M82" s="835">
        <f>_xlfn.XLOOKUP(L82,'Série Histórica IPCA'!$N$313:$N$447,'Série Histórica IPCA'!$J$313:$J$447,0)</f>
        <v>1.6367419529218339</v>
      </c>
      <c r="N82" s="828">
        <f t="shared" si="9"/>
        <v>1831.1560931456947</v>
      </c>
      <c r="P82"/>
      <c r="Q82"/>
    </row>
    <row r="83" spans="3:17">
      <c r="C83" s="838" t="s">
        <v>691</v>
      </c>
      <c r="D83" s="826" t="s">
        <v>778</v>
      </c>
      <c r="E83" s="838" t="s">
        <v>779</v>
      </c>
      <c r="F83" s="827">
        <v>43437</v>
      </c>
      <c r="G83" s="827">
        <v>43468</v>
      </c>
      <c r="H83" s="827">
        <v>43468</v>
      </c>
      <c r="I83" s="828">
        <v>956.41</v>
      </c>
      <c r="J83" s="828">
        <v>849.78</v>
      </c>
      <c r="K83" s="825" t="s">
        <v>702</v>
      </c>
      <c r="L83" s="810" t="str">
        <f t="shared" si="8"/>
        <v>1/2019</v>
      </c>
      <c r="M83" s="835">
        <f>_xlfn.XLOOKUP(L83,'Série Histórica IPCA'!$N$313:$N$447,'Série Histórica IPCA'!$J$313:$J$447,0)</f>
        <v>1.6367419529218339</v>
      </c>
      <c r="N83" s="828">
        <f t="shared" si="9"/>
        <v>584.33768273163787</v>
      </c>
      <c r="P83"/>
      <c r="Q83"/>
    </row>
    <row r="84" spans="3:17">
      <c r="C84" s="838" t="s">
        <v>691</v>
      </c>
      <c r="D84" s="826" t="s">
        <v>780</v>
      </c>
      <c r="E84" s="838" t="s">
        <v>779</v>
      </c>
      <c r="F84" s="827">
        <v>43437</v>
      </c>
      <c r="G84" s="827">
        <v>43468</v>
      </c>
      <c r="H84" s="827">
        <v>43468</v>
      </c>
      <c r="I84" s="828">
        <v>1591.3</v>
      </c>
      <c r="J84" s="828">
        <v>1413.87</v>
      </c>
      <c r="K84" s="829" t="s">
        <v>702</v>
      </c>
      <c r="L84" s="810" t="str">
        <f t="shared" si="8"/>
        <v>1/2019</v>
      </c>
      <c r="M84" s="835">
        <f>_xlfn.XLOOKUP(L84,'Série Histórica IPCA'!$N$313:$N$447,'Série Histórica IPCA'!$J$313:$J$447,0)</f>
        <v>1.6367419529218339</v>
      </c>
      <c r="N84" s="828">
        <f t="shared" si="9"/>
        <v>972.23633643610515</v>
      </c>
      <c r="P84"/>
      <c r="Q84"/>
    </row>
    <row r="85" spans="3:17">
      <c r="C85" s="838" t="s">
        <v>691</v>
      </c>
      <c r="D85" s="826" t="s">
        <v>781</v>
      </c>
      <c r="E85" s="838" t="s">
        <v>782</v>
      </c>
      <c r="F85" s="827">
        <v>43437</v>
      </c>
      <c r="G85" s="839">
        <v>43468</v>
      </c>
      <c r="H85" s="839">
        <v>43468</v>
      </c>
      <c r="I85" s="828">
        <v>15981.6</v>
      </c>
      <c r="J85" s="828">
        <v>14199.62</v>
      </c>
      <c r="K85" s="829" t="s">
        <v>702</v>
      </c>
      <c r="L85" s="810" t="str">
        <f t="shared" si="8"/>
        <v>1/2019</v>
      </c>
      <c r="M85" s="835">
        <f>_xlfn.XLOOKUP(L85,'Série Histórica IPCA'!$N$313:$N$447,'Série Histórica IPCA'!$J$313:$J$447,0)</f>
        <v>1.6367419529218339</v>
      </c>
      <c r="N85" s="828">
        <f t="shared" si="9"/>
        <v>9764.2758966802357</v>
      </c>
      <c r="P85"/>
      <c r="Q85"/>
    </row>
    <row r="86" spans="3:17">
      <c r="C86" s="838" t="s">
        <v>691</v>
      </c>
      <c r="D86" s="826" t="s">
        <v>783</v>
      </c>
      <c r="E86" s="838" t="s">
        <v>782</v>
      </c>
      <c r="F86" s="827">
        <v>43437</v>
      </c>
      <c r="G86" s="839">
        <v>43468</v>
      </c>
      <c r="H86" s="839">
        <v>43468</v>
      </c>
      <c r="I86" s="828">
        <v>26590.58</v>
      </c>
      <c r="J86" s="828">
        <v>23625.73</v>
      </c>
      <c r="K86" s="829" t="s">
        <v>702</v>
      </c>
      <c r="L86" s="810" t="str">
        <f t="shared" si="8"/>
        <v>1/2019</v>
      </c>
      <c r="M86" s="835">
        <f>_xlfn.XLOOKUP(L86,'Série Histórica IPCA'!$N$313:$N$447,'Série Histórica IPCA'!$J$313:$J$447,0)</f>
        <v>1.6367419529218339</v>
      </c>
      <c r="N86" s="828">
        <f t="shared" si="9"/>
        <v>16246.042910143387</v>
      </c>
      <c r="P86"/>
      <c r="Q86"/>
    </row>
    <row r="87" spans="3:17">
      <c r="C87" s="830" t="s">
        <v>691</v>
      </c>
      <c r="D87" s="831" t="s">
        <v>784</v>
      </c>
      <c r="E87" s="836" t="s">
        <v>785</v>
      </c>
      <c r="F87" s="837">
        <v>43437</v>
      </c>
      <c r="G87" s="837">
        <v>43468</v>
      </c>
      <c r="H87" s="837">
        <v>43468</v>
      </c>
      <c r="I87" s="833">
        <v>33387.980000000003</v>
      </c>
      <c r="J87" s="833">
        <v>29664.44</v>
      </c>
      <c r="K87" s="834" t="s">
        <v>705</v>
      </c>
      <c r="L87" s="810" t="str">
        <f t="shared" si="8"/>
        <v>1/2019</v>
      </c>
      <c r="M87" s="835">
        <f>_xlfn.XLOOKUP(L87,'Série Histórica IPCA'!$N$313:$N$447,'Série Histórica IPCA'!$J$313:$J$447,0)</f>
        <v>1.6367419529218339</v>
      </c>
      <c r="N87" s="833">
        <f t="shared" si="9"/>
        <v>20399.049428895843</v>
      </c>
      <c r="P87"/>
      <c r="Q87"/>
    </row>
    <row r="88" spans="3:17">
      <c r="C88" s="830" t="s">
        <v>691</v>
      </c>
      <c r="D88" s="831" t="s">
        <v>786</v>
      </c>
      <c r="E88" s="836" t="s">
        <v>787</v>
      </c>
      <c r="F88" s="837">
        <v>43437</v>
      </c>
      <c r="G88" s="837">
        <v>43468</v>
      </c>
      <c r="H88" s="837">
        <v>43468</v>
      </c>
      <c r="I88" s="833">
        <v>1998.09</v>
      </c>
      <c r="J88" s="833">
        <v>1775.31</v>
      </c>
      <c r="K88" s="834" t="s">
        <v>705</v>
      </c>
      <c r="L88" s="810" t="str">
        <f t="shared" si="8"/>
        <v>1/2019</v>
      </c>
      <c r="M88" s="835">
        <f>_xlfn.XLOOKUP(L88,'Série Histórica IPCA'!$N$313:$N$447,'Série Histórica IPCA'!$J$313:$J$447,0)</f>
        <v>1.6367419529218339</v>
      </c>
      <c r="N88" s="833">
        <f t="shared" si="9"/>
        <v>1220.7727653299928</v>
      </c>
      <c r="P88"/>
      <c r="Q88"/>
    </row>
    <row r="89" spans="3:17">
      <c r="C89" s="830" t="s">
        <v>691</v>
      </c>
      <c r="D89" s="831" t="s">
        <v>788</v>
      </c>
      <c r="E89" s="836" t="s">
        <v>789</v>
      </c>
      <c r="F89" s="837">
        <v>43437</v>
      </c>
      <c r="G89" s="837">
        <v>43468</v>
      </c>
      <c r="H89" s="837">
        <v>43468</v>
      </c>
      <c r="I89" s="833">
        <v>1200.9000000000001</v>
      </c>
      <c r="J89" s="833">
        <v>1052.5999999999999</v>
      </c>
      <c r="K89" s="834" t="s">
        <v>705</v>
      </c>
      <c r="L89" s="810" t="str">
        <f t="shared" si="8"/>
        <v>1/2019</v>
      </c>
      <c r="M89" s="835">
        <f>_xlfn.XLOOKUP(L89,'Série Histórica IPCA'!$N$313:$N$447,'Série Histórica IPCA'!$J$313:$J$447,0)</f>
        <v>1.6367419529218339</v>
      </c>
      <c r="N89" s="833">
        <f t="shared" si="9"/>
        <v>733.71370352926465</v>
      </c>
      <c r="P89"/>
      <c r="Q89"/>
    </row>
    <row r="90" spans="3:17">
      <c r="C90" s="830" t="s">
        <v>691</v>
      </c>
      <c r="D90" s="831" t="s">
        <v>790</v>
      </c>
      <c r="E90" s="836" t="s">
        <v>785</v>
      </c>
      <c r="F90" s="837">
        <v>43437</v>
      </c>
      <c r="G90" s="837">
        <v>43468</v>
      </c>
      <c r="H90" s="837">
        <v>43468</v>
      </c>
      <c r="I90" s="833">
        <v>20067.009999999998</v>
      </c>
      <c r="J90" s="833">
        <v>17589.53</v>
      </c>
      <c r="K90" s="834" t="s">
        <v>705</v>
      </c>
      <c r="L90" s="810" t="str">
        <f t="shared" si="8"/>
        <v>1/2019</v>
      </c>
      <c r="M90" s="835">
        <f>_xlfn.XLOOKUP(L90,'Série Histórica IPCA'!$N$313:$N$447,'Série Histórica IPCA'!$J$313:$J$447,0)</f>
        <v>1.6367419529218339</v>
      </c>
      <c r="N90" s="833">
        <f t="shared" si="9"/>
        <v>12260.338267848103</v>
      </c>
      <c r="P90"/>
      <c r="Q90"/>
    </row>
    <row r="91" spans="3:17">
      <c r="C91" s="830" t="s">
        <v>691</v>
      </c>
      <c r="D91" s="831" t="s">
        <v>791</v>
      </c>
      <c r="E91" s="836" t="s">
        <v>792</v>
      </c>
      <c r="F91" s="837">
        <v>43438</v>
      </c>
      <c r="G91" s="837">
        <v>43468</v>
      </c>
      <c r="H91" s="837">
        <v>43468</v>
      </c>
      <c r="I91" s="833">
        <v>637.62</v>
      </c>
      <c r="J91" s="833">
        <v>560.79</v>
      </c>
      <c r="K91" s="834" t="s">
        <v>705</v>
      </c>
      <c r="L91" s="810" t="str">
        <f t="shared" si="8"/>
        <v>1/2019</v>
      </c>
      <c r="M91" s="835">
        <f>_xlfn.XLOOKUP(L91,'Série Histórica IPCA'!$N$313:$N$447,'Série Histórica IPCA'!$J$313:$J$447,0)</f>
        <v>1.6367419529218339</v>
      </c>
      <c r="N91" s="833">
        <f t="shared" si="9"/>
        <v>389.56660141921037</v>
      </c>
      <c r="P91"/>
      <c r="Q91"/>
    </row>
    <row r="92" spans="3:17">
      <c r="C92" s="830" t="s">
        <v>691</v>
      </c>
      <c r="D92" s="831" t="s">
        <v>793</v>
      </c>
      <c r="E92" s="836" t="s">
        <v>792</v>
      </c>
      <c r="F92" s="837">
        <v>43438</v>
      </c>
      <c r="G92" s="837">
        <v>43468</v>
      </c>
      <c r="H92" s="837">
        <v>43468</v>
      </c>
      <c r="I92" s="833">
        <v>1060.8599999999999</v>
      </c>
      <c r="J92" s="833">
        <v>942.58</v>
      </c>
      <c r="K92" s="834" t="s">
        <v>705</v>
      </c>
      <c r="L92" s="810" t="str">
        <f t="shared" si="8"/>
        <v>1/2019</v>
      </c>
      <c r="M92" s="835">
        <f>_xlfn.XLOOKUP(L92,'Série Histórica IPCA'!$N$313:$N$447,'Série Histórica IPCA'!$J$313:$J$447,0)</f>
        <v>1.6367419529218339</v>
      </c>
      <c r="N92" s="833">
        <f t="shared" si="9"/>
        <v>648.15348449167755</v>
      </c>
      <c r="P92"/>
      <c r="Q92"/>
    </row>
    <row r="93" spans="3:17">
      <c r="C93" s="830" t="s">
        <v>691</v>
      </c>
      <c r="D93" s="831" t="s">
        <v>794</v>
      </c>
      <c r="E93" s="836" t="s">
        <v>782</v>
      </c>
      <c r="F93" s="837">
        <v>43438</v>
      </c>
      <c r="G93" s="837">
        <v>43468</v>
      </c>
      <c r="H93" s="837">
        <v>43468</v>
      </c>
      <c r="I93" s="833">
        <v>10654.41</v>
      </c>
      <c r="J93" s="833">
        <v>9370.56</v>
      </c>
      <c r="K93" s="834" t="s">
        <v>705</v>
      </c>
      <c r="L93" s="810" t="str">
        <f t="shared" si="8"/>
        <v>1/2019</v>
      </c>
      <c r="M93" s="835">
        <f>_xlfn.XLOOKUP(L93,'Série Histórica IPCA'!$N$313:$N$447,'Série Histórica IPCA'!$J$313:$J$447,0)</f>
        <v>1.6367419529218339</v>
      </c>
      <c r="N93" s="833">
        <f t="shared" si="9"/>
        <v>6509.5233741520797</v>
      </c>
      <c r="P93"/>
      <c r="Q93"/>
    </row>
    <row r="94" spans="3:17">
      <c r="C94" s="830" t="s">
        <v>691</v>
      </c>
      <c r="D94" s="831" t="s">
        <v>795</v>
      </c>
      <c r="E94" s="836" t="s">
        <v>782</v>
      </c>
      <c r="F94" s="837">
        <v>43438</v>
      </c>
      <c r="G94" s="837">
        <v>43468</v>
      </c>
      <c r="H94" s="837">
        <v>43468</v>
      </c>
      <c r="I94" s="833">
        <v>17727.05</v>
      </c>
      <c r="J94" s="833">
        <v>15750.48</v>
      </c>
      <c r="K94" s="834" t="s">
        <v>705</v>
      </c>
      <c r="L94" s="810" t="str">
        <f t="shared" ref="L94:L157" si="11">MONTH(H94)&amp;"/"&amp;YEAR(H94)</f>
        <v>1/2019</v>
      </c>
      <c r="M94" s="835">
        <f>_xlfn.XLOOKUP(L94,'Série Histórica IPCA'!$N$313:$N$447,'Série Histórica IPCA'!$J$313:$J$447,0)</f>
        <v>1.6367419529218339</v>
      </c>
      <c r="N94" s="833">
        <f t="shared" ref="N94:N157" si="12">I94/M94</f>
        <v>10830.693236862728</v>
      </c>
      <c r="P94"/>
      <c r="Q94"/>
    </row>
    <row r="95" spans="3:17">
      <c r="C95" s="830" t="s">
        <v>691</v>
      </c>
      <c r="D95" s="831" t="s">
        <v>796</v>
      </c>
      <c r="E95" s="836" t="s">
        <v>797</v>
      </c>
      <c r="F95" s="837">
        <v>43469</v>
      </c>
      <c r="G95" s="837">
        <v>43511</v>
      </c>
      <c r="H95" s="837">
        <v>43511</v>
      </c>
      <c r="I95" s="833">
        <v>17995.599999999999</v>
      </c>
      <c r="J95" s="833">
        <v>15772.7</v>
      </c>
      <c r="K95" s="834" t="s">
        <v>705</v>
      </c>
      <c r="L95" s="810" t="str">
        <f t="shared" si="11"/>
        <v>2/2019</v>
      </c>
      <c r="M95" s="835">
        <f>_xlfn.XLOOKUP(L95,'Série Histórica IPCA'!$N$313:$N$447,'Série Histórica IPCA'!$J$313:$J$447,0)</f>
        <v>1.643779048008982</v>
      </c>
      <c r="N95" s="833">
        <f t="shared" si="12"/>
        <v>10947.700070637271</v>
      </c>
      <c r="P95"/>
      <c r="Q95"/>
    </row>
    <row r="96" spans="3:17">
      <c r="C96" s="830" t="s">
        <v>691</v>
      </c>
      <c r="D96" s="831" t="s">
        <v>798</v>
      </c>
      <c r="E96" s="836" t="s">
        <v>797</v>
      </c>
      <c r="F96" s="837">
        <v>43469</v>
      </c>
      <c r="G96" s="837">
        <v>43511</v>
      </c>
      <c r="H96" s="837">
        <v>43511</v>
      </c>
      <c r="I96" s="833">
        <v>10815.8</v>
      </c>
      <c r="J96" s="833">
        <v>9449.4699999999993</v>
      </c>
      <c r="K96" s="834" t="s">
        <v>705</v>
      </c>
      <c r="L96" s="810" t="str">
        <f t="shared" si="11"/>
        <v>2/2019</v>
      </c>
      <c r="M96" s="835">
        <f>_xlfn.XLOOKUP(L96,'Série Histórica IPCA'!$N$313:$N$447,'Série Histórica IPCA'!$J$313:$J$447,0)</f>
        <v>1.643779048008982</v>
      </c>
      <c r="N96" s="833">
        <f t="shared" si="12"/>
        <v>6579.8380950898327</v>
      </c>
      <c r="P96"/>
      <c r="Q96"/>
    </row>
    <row r="97" spans="3:17">
      <c r="C97" s="830" t="s">
        <v>691</v>
      </c>
      <c r="D97" s="831" t="s">
        <v>799</v>
      </c>
      <c r="E97" s="836" t="s">
        <v>800</v>
      </c>
      <c r="F97" s="837">
        <v>43469</v>
      </c>
      <c r="G97" s="837">
        <v>43511</v>
      </c>
      <c r="H97" s="837">
        <v>43511</v>
      </c>
      <c r="I97" s="833">
        <v>1076.93</v>
      </c>
      <c r="J97" s="833">
        <v>943.91</v>
      </c>
      <c r="K97" s="834" t="s">
        <v>705</v>
      </c>
      <c r="L97" s="810" t="str">
        <f t="shared" si="11"/>
        <v>2/2019</v>
      </c>
      <c r="M97" s="835">
        <f>_xlfn.XLOOKUP(L97,'Série Histórica IPCA'!$N$313:$N$447,'Série Histórica IPCA'!$J$313:$J$447,0)</f>
        <v>1.643779048008982</v>
      </c>
      <c r="N97" s="833">
        <f t="shared" si="12"/>
        <v>655.15496216138376</v>
      </c>
      <c r="P97"/>
      <c r="Q97"/>
    </row>
    <row r="98" spans="3:17">
      <c r="C98" s="830" t="s">
        <v>691</v>
      </c>
      <c r="D98" s="831" t="s">
        <v>801</v>
      </c>
      <c r="E98" s="836" t="s">
        <v>800</v>
      </c>
      <c r="F98" s="837">
        <v>43469</v>
      </c>
      <c r="G98" s="837">
        <v>43511</v>
      </c>
      <c r="H98" s="837">
        <v>43511</v>
      </c>
      <c r="I98" s="833">
        <v>647.27</v>
      </c>
      <c r="J98" s="833">
        <v>565.5</v>
      </c>
      <c r="K98" s="834" t="s">
        <v>705</v>
      </c>
      <c r="L98" s="810" t="str">
        <f t="shared" si="11"/>
        <v>2/2019</v>
      </c>
      <c r="M98" s="835">
        <f>_xlfn.XLOOKUP(L98,'Série Histórica IPCA'!$N$313:$N$447,'Série Histórica IPCA'!$J$313:$J$447,0)</f>
        <v>1.643779048008982</v>
      </c>
      <c r="N98" s="833">
        <f t="shared" si="12"/>
        <v>393.76946724318094</v>
      </c>
      <c r="P98"/>
      <c r="Q98"/>
    </row>
    <row r="99" spans="3:17">
      <c r="C99" s="838" t="s">
        <v>691</v>
      </c>
      <c r="D99" s="826" t="s">
        <v>802</v>
      </c>
      <c r="E99" s="838" t="s">
        <v>797</v>
      </c>
      <c r="F99" s="827">
        <v>43472</v>
      </c>
      <c r="G99" s="839">
        <v>43514</v>
      </c>
      <c r="H99" s="839">
        <v>43514</v>
      </c>
      <c r="I99" s="828">
        <v>26993.38</v>
      </c>
      <c r="J99" s="828">
        <v>23659.03</v>
      </c>
      <c r="K99" s="829" t="s">
        <v>702</v>
      </c>
      <c r="L99" s="810" t="str">
        <f t="shared" si="11"/>
        <v>2/2019</v>
      </c>
      <c r="M99" s="835">
        <f>_xlfn.XLOOKUP(L99,'Série Histórica IPCA'!$N$313:$N$447,'Série Histórica IPCA'!$J$313:$J$447,0)</f>
        <v>1.643779048008982</v>
      </c>
      <c r="N99" s="828">
        <f t="shared" si="12"/>
        <v>16421.537938870544</v>
      </c>
      <c r="P99"/>
      <c r="Q99"/>
    </row>
    <row r="100" spans="3:17">
      <c r="C100" s="838" t="s">
        <v>691</v>
      </c>
      <c r="D100" s="826" t="s">
        <v>803</v>
      </c>
      <c r="E100" s="838" t="s">
        <v>797</v>
      </c>
      <c r="F100" s="827">
        <v>43472</v>
      </c>
      <c r="G100" s="839">
        <v>43514</v>
      </c>
      <c r="H100" s="839">
        <v>43514</v>
      </c>
      <c r="I100" s="828">
        <v>16223.7</v>
      </c>
      <c r="J100" s="828">
        <v>14174.2</v>
      </c>
      <c r="K100" s="829" t="s">
        <v>702</v>
      </c>
      <c r="L100" s="810" t="str">
        <f t="shared" si="11"/>
        <v>2/2019</v>
      </c>
      <c r="M100" s="835">
        <f>_xlfn.XLOOKUP(L100,'Série Histórica IPCA'!$N$313:$N$447,'Série Histórica IPCA'!$J$313:$J$447,0)</f>
        <v>1.643779048008982</v>
      </c>
      <c r="N100" s="828">
        <f t="shared" si="12"/>
        <v>9869.7571426347513</v>
      </c>
      <c r="P100"/>
      <c r="Q100"/>
    </row>
    <row r="101" spans="3:17">
      <c r="C101" s="838" t="s">
        <v>691</v>
      </c>
      <c r="D101" s="826" t="s">
        <v>804</v>
      </c>
      <c r="E101" s="838" t="s">
        <v>805</v>
      </c>
      <c r="F101" s="839">
        <v>43472</v>
      </c>
      <c r="G101" s="839">
        <v>43514</v>
      </c>
      <c r="H101" s="839">
        <v>43514</v>
      </c>
      <c r="I101" s="828">
        <v>1615.4</v>
      </c>
      <c r="J101" s="828">
        <v>1415.86</v>
      </c>
      <c r="K101" s="829" t="s">
        <v>702</v>
      </c>
      <c r="L101" s="810" t="str">
        <f t="shared" si="11"/>
        <v>2/2019</v>
      </c>
      <c r="M101" s="835">
        <f>_xlfn.XLOOKUP(L101,'Série Histórica IPCA'!$N$313:$N$447,'Série Histórica IPCA'!$J$313:$J$447,0)</f>
        <v>1.643779048008982</v>
      </c>
      <c r="N101" s="828">
        <f t="shared" si="12"/>
        <v>982.73548501341713</v>
      </c>
      <c r="P101"/>
      <c r="Q101"/>
    </row>
    <row r="102" spans="3:17">
      <c r="C102" s="838" t="s">
        <v>691</v>
      </c>
      <c r="D102" s="826" t="s">
        <v>806</v>
      </c>
      <c r="E102" s="838" t="s">
        <v>805</v>
      </c>
      <c r="F102" s="839">
        <v>43472</v>
      </c>
      <c r="G102" s="839">
        <v>43514</v>
      </c>
      <c r="H102" s="839">
        <v>43514</v>
      </c>
      <c r="I102" s="828">
        <v>970.91</v>
      </c>
      <c r="J102" s="828">
        <v>848.27</v>
      </c>
      <c r="K102" s="825" t="s">
        <v>702</v>
      </c>
      <c r="L102" s="810" t="str">
        <f t="shared" si="11"/>
        <v>2/2019</v>
      </c>
      <c r="M102" s="835">
        <f>_xlfn.XLOOKUP(L102,'Série Histórica IPCA'!$N$313:$N$447,'Série Histórica IPCA'!$J$313:$J$447,0)</f>
        <v>1.643779048008982</v>
      </c>
      <c r="N102" s="828">
        <f t="shared" si="12"/>
        <v>590.65724263611287</v>
      </c>
      <c r="P102"/>
      <c r="Q102"/>
    </row>
    <row r="103" spans="3:17">
      <c r="C103" s="838" t="s">
        <v>691</v>
      </c>
      <c r="D103" s="826" t="s">
        <v>807</v>
      </c>
      <c r="E103" s="838" t="s">
        <v>808</v>
      </c>
      <c r="F103" s="827">
        <v>43510</v>
      </c>
      <c r="G103" s="839">
        <v>43521</v>
      </c>
      <c r="H103" s="839">
        <v>43521</v>
      </c>
      <c r="I103" s="828">
        <v>15981.6</v>
      </c>
      <c r="J103" s="828">
        <v>14103.82</v>
      </c>
      <c r="K103" s="829" t="s">
        <v>702</v>
      </c>
      <c r="L103" s="810" t="str">
        <f t="shared" si="11"/>
        <v>2/2019</v>
      </c>
      <c r="M103" s="835">
        <f>_xlfn.XLOOKUP(L103,'Série Histórica IPCA'!$N$313:$N$447,'Série Histórica IPCA'!$J$313:$J$447,0)</f>
        <v>1.643779048008982</v>
      </c>
      <c r="N103" s="828">
        <f t="shared" si="12"/>
        <v>9722.4745742790801</v>
      </c>
      <c r="P103"/>
      <c r="Q103"/>
    </row>
    <row r="104" spans="3:17">
      <c r="C104" s="838" t="s">
        <v>691</v>
      </c>
      <c r="D104" s="826" t="s">
        <v>809</v>
      </c>
      <c r="E104" s="838" t="s">
        <v>810</v>
      </c>
      <c r="F104" s="839">
        <v>43510</v>
      </c>
      <c r="G104" s="839">
        <v>43521</v>
      </c>
      <c r="H104" s="839">
        <v>43521</v>
      </c>
      <c r="I104" s="828">
        <v>956.41</v>
      </c>
      <c r="J104" s="828">
        <v>844.03</v>
      </c>
      <c r="K104" s="825" t="s">
        <v>702</v>
      </c>
      <c r="L104" s="810" t="str">
        <f t="shared" si="11"/>
        <v>2/2019</v>
      </c>
      <c r="M104" s="835">
        <f>_xlfn.XLOOKUP(L104,'Série Histórica IPCA'!$N$313:$N$447,'Série Histórica IPCA'!$J$313:$J$447,0)</f>
        <v>1.643779048008982</v>
      </c>
      <c r="N104" s="828">
        <f t="shared" si="12"/>
        <v>581.83610574574857</v>
      </c>
      <c r="P104"/>
      <c r="Q104"/>
    </row>
    <row r="105" spans="3:17">
      <c r="C105" s="838" t="s">
        <v>691</v>
      </c>
      <c r="D105" s="826" t="s">
        <v>811</v>
      </c>
      <c r="E105" s="838" t="s">
        <v>808</v>
      </c>
      <c r="F105" s="827">
        <v>43510</v>
      </c>
      <c r="G105" s="839">
        <v>43521</v>
      </c>
      <c r="H105" s="839">
        <v>43521</v>
      </c>
      <c r="I105" s="828">
        <v>26590.58</v>
      </c>
      <c r="J105" s="828">
        <v>23403.25</v>
      </c>
      <c r="K105" s="829" t="s">
        <v>702</v>
      </c>
      <c r="L105" s="810" t="str">
        <f t="shared" si="11"/>
        <v>2/2019</v>
      </c>
      <c r="M105" s="835">
        <f>_xlfn.XLOOKUP(L105,'Série Histórica IPCA'!$N$313:$N$447,'Série Histórica IPCA'!$J$313:$J$447,0)</f>
        <v>1.643779048008982</v>
      </c>
      <c r="N105" s="828">
        <f t="shared" si="12"/>
        <v>16176.492839598905</v>
      </c>
      <c r="P105"/>
      <c r="Q105"/>
    </row>
    <row r="106" spans="3:17">
      <c r="C106" s="838" t="s">
        <v>691</v>
      </c>
      <c r="D106" s="826" t="s">
        <v>812</v>
      </c>
      <c r="E106" s="838" t="s">
        <v>813</v>
      </c>
      <c r="F106" s="839">
        <v>43510</v>
      </c>
      <c r="G106" s="839">
        <v>43521</v>
      </c>
      <c r="H106" s="839">
        <v>43521</v>
      </c>
      <c r="I106" s="828">
        <v>1591.3</v>
      </c>
      <c r="J106" s="828">
        <v>1400.55</v>
      </c>
      <c r="K106" s="829" t="s">
        <v>702</v>
      </c>
      <c r="L106" s="810" t="str">
        <f t="shared" si="11"/>
        <v>2/2019</v>
      </c>
      <c r="M106" s="835">
        <f>_xlfn.XLOOKUP(L106,'Série Histórica IPCA'!$N$313:$N$447,'Série Histórica IPCA'!$J$313:$J$447,0)</f>
        <v>1.643779048008982</v>
      </c>
      <c r="N106" s="828">
        <f t="shared" si="12"/>
        <v>968.07414714736331</v>
      </c>
      <c r="P106"/>
      <c r="Q106"/>
    </row>
    <row r="107" spans="3:17">
      <c r="C107" s="830" t="s">
        <v>691</v>
      </c>
      <c r="D107" s="831" t="s">
        <v>814</v>
      </c>
      <c r="E107" s="836" t="s">
        <v>815</v>
      </c>
      <c r="F107" s="837">
        <v>43510</v>
      </c>
      <c r="G107" s="837">
        <v>43521</v>
      </c>
      <c r="H107" s="837">
        <v>43521</v>
      </c>
      <c r="I107" s="833">
        <v>637.62</v>
      </c>
      <c r="J107" s="833">
        <v>562.70000000000005</v>
      </c>
      <c r="K107" s="834" t="s">
        <v>705</v>
      </c>
      <c r="L107" s="810" t="str">
        <f t="shared" si="11"/>
        <v>2/2019</v>
      </c>
      <c r="M107" s="835">
        <f>_xlfn.XLOOKUP(L107,'Série Histórica IPCA'!$N$313:$N$447,'Série Histórica IPCA'!$J$313:$J$447,0)</f>
        <v>1.643779048008982</v>
      </c>
      <c r="N107" s="833">
        <f t="shared" si="12"/>
        <v>387.89884855407644</v>
      </c>
      <c r="P107"/>
      <c r="Q107"/>
    </row>
    <row r="108" spans="3:17">
      <c r="C108" s="830" t="s">
        <v>691</v>
      </c>
      <c r="D108" s="831" t="s">
        <v>816</v>
      </c>
      <c r="E108" s="836" t="s">
        <v>815</v>
      </c>
      <c r="F108" s="837">
        <v>43510</v>
      </c>
      <c r="G108" s="837">
        <v>43521</v>
      </c>
      <c r="H108" s="837">
        <v>43521</v>
      </c>
      <c r="I108" s="833">
        <v>1060.8599999999999</v>
      </c>
      <c r="J108" s="833">
        <v>933.7</v>
      </c>
      <c r="K108" s="834" t="s">
        <v>705</v>
      </c>
      <c r="L108" s="810" t="str">
        <f t="shared" si="11"/>
        <v>2/2019</v>
      </c>
      <c r="M108" s="835">
        <f>_xlfn.XLOOKUP(L108,'Série Histórica IPCA'!$N$313:$N$447,'Série Histórica IPCA'!$J$313:$J$447,0)</f>
        <v>1.643779048008982</v>
      </c>
      <c r="N108" s="833">
        <f t="shared" si="12"/>
        <v>645.37870906978685</v>
      </c>
      <c r="P108"/>
      <c r="Q108"/>
    </row>
    <row r="109" spans="3:17">
      <c r="C109" s="830" t="s">
        <v>691</v>
      </c>
      <c r="D109" s="831" t="s">
        <v>817</v>
      </c>
      <c r="E109" s="836" t="s">
        <v>808</v>
      </c>
      <c r="F109" s="837">
        <v>43510</v>
      </c>
      <c r="G109" s="837">
        <v>43521</v>
      </c>
      <c r="H109" s="837">
        <v>43521</v>
      </c>
      <c r="I109" s="833">
        <v>10654.41</v>
      </c>
      <c r="J109" s="833">
        <v>9402.52</v>
      </c>
      <c r="K109" s="834" t="s">
        <v>705</v>
      </c>
      <c r="L109" s="810" t="str">
        <f t="shared" si="11"/>
        <v>2/2019</v>
      </c>
      <c r="M109" s="835">
        <f>_xlfn.XLOOKUP(L109,'Série Histórica IPCA'!$N$313:$N$447,'Série Histórica IPCA'!$J$313:$J$447,0)</f>
        <v>1.643779048008982</v>
      </c>
      <c r="N109" s="833">
        <f t="shared" si="12"/>
        <v>6481.6557997287364</v>
      </c>
      <c r="P109"/>
      <c r="Q109"/>
    </row>
    <row r="110" spans="3:17">
      <c r="C110" s="830" t="s">
        <v>691</v>
      </c>
      <c r="D110" s="831" t="s">
        <v>818</v>
      </c>
      <c r="E110" s="836" t="s">
        <v>808</v>
      </c>
      <c r="F110" s="837">
        <v>43510</v>
      </c>
      <c r="G110" s="837">
        <v>43521</v>
      </c>
      <c r="H110" s="837">
        <v>43521</v>
      </c>
      <c r="I110" s="833">
        <v>17727.05</v>
      </c>
      <c r="J110" s="833">
        <v>15602.19</v>
      </c>
      <c r="K110" s="834" t="s">
        <v>705</v>
      </c>
      <c r="L110" s="810" t="str">
        <f t="shared" si="11"/>
        <v>2/2019</v>
      </c>
      <c r="M110" s="835">
        <f>_xlfn.XLOOKUP(L110,'Série Histórica IPCA'!$N$313:$N$447,'Série Histórica IPCA'!$J$313:$J$447,0)</f>
        <v>1.643779048008982</v>
      </c>
      <c r="N110" s="833">
        <f t="shared" si="12"/>
        <v>10784.326531885041</v>
      </c>
      <c r="P110"/>
      <c r="Q110"/>
    </row>
    <row r="111" spans="3:17">
      <c r="C111" s="830" t="s">
        <v>691</v>
      </c>
      <c r="D111" s="831" t="s">
        <v>819</v>
      </c>
      <c r="E111" s="836" t="s">
        <v>820</v>
      </c>
      <c r="F111" s="837">
        <v>43508</v>
      </c>
      <c r="G111" s="837">
        <v>43521</v>
      </c>
      <c r="H111" s="837">
        <v>43521</v>
      </c>
      <c r="I111" s="833">
        <v>80749.919999999998</v>
      </c>
      <c r="J111" s="833">
        <v>79013.8</v>
      </c>
      <c r="K111" s="834" t="s">
        <v>1449</v>
      </c>
      <c r="L111" s="810" t="str">
        <f t="shared" si="11"/>
        <v>2/2019</v>
      </c>
      <c r="M111" s="835">
        <f>_xlfn.XLOOKUP(L111,'Série Histórica IPCA'!$N$313:$N$447,'Série Histórica IPCA'!$J$313:$J$447,0)</f>
        <v>1.643779048008982</v>
      </c>
      <c r="N111" s="833">
        <f t="shared" si="12"/>
        <v>49124.558496963371</v>
      </c>
      <c r="P111"/>
      <c r="Q111"/>
    </row>
    <row r="112" spans="3:17">
      <c r="C112" s="838" t="s">
        <v>821</v>
      </c>
      <c r="D112" s="826" t="s">
        <v>822</v>
      </c>
      <c r="E112" s="838" t="s">
        <v>823</v>
      </c>
      <c r="F112" s="827">
        <v>43565</v>
      </c>
      <c r="G112" s="839">
        <v>43572</v>
      </c>
      <c r="H112" s="839">
        <v>43572</v>
      </c>
      <c r="I112" s="828">
        <v>58602.27</v>
      </c>
      <c r="J112" s="828">
        <v>51087.72</v>
      </c>
      <c r="K112" s="829" t="s">
        <v>702</v>
      </c>
      <c r="L112" s="810" t="str">
        <f t="shared" si="11"/>
        <v>4/2019</v>
      </c>
      <c r="M112" s="835">
        <f>_xlfn.XLOOKUP(L112,'Série Histórica IPCA'!$N$313:$N$447,'Série Histórica IPCA'!$J$313:$J$447,0)</f>
        <v>1.6655460625853646</v>
      </c>
      <c r="N112" s="828">
        <f t="shared" si="12"/>
        <v>35185.019085592801</v>
      </c>
      <c r="P112"/>
      <c r="Q112"/>
    </row>
    <row r="113" spans="3:17">
      <c r="C113" s="838" t="s">
        <v>821</v>
      </c>
      <c r="D113" s="826" t="s">
        <v>824</v>
      </c>
      <c r="E113" s="838" t="s">
        <v>823</v>
      </c>
      <c r="F113" s="827">
        <v>43565</v>
      </c>
      <c r="G113" s="839">
        <v>43572</v>
      </c>
      <c r="H113" s="839">
        <v>43572</v>
      </c>
      <c r="I113" s="828">
        <v>35221.42</v>
      </c>
      <c r="J113" s="828">
        <v>30753.59</v>
      </c>
      <c r="K113" s="829" t="s">
        <v>702</v>
      </c>
      <c r="L113" s="810" t="str">
        <f t="shared" si="11"/>
        <v>4/2019</v>
      </c>
      <c r="M113" s="835">
        <f>_xlfn.XLOOKUP(L113,'Série Histórica IPCA'!$N$313:$N$447,'Série Histórica IPCA'!$J$313:$J$447,0)</f>
        <v>1.6655460625853646</v>
      </c>
      <c r="N113" s="828">
        <f t="shared" si="12"/>
        <v>21147.070496103308</v>
      </c>
      <c r="P113"/>
      <c r="Q113"/>
    </row>
    <row r="114" spans="3:17">
      <c r="C114" s="838" t="s">
        <v>821</v>
      </c>
      <c r="D114" s="826" t="s">
        <v>825</v>
      </c>
      <c r="E114" s="838" t="s">
        <v>826</v>
      </c>
      <c r="F114" s="839">
        <v>43565</v>
      </c>
      <c r="G114" s="839">
        <v>43572</v>
      </c>
      <c r="H114" s="839">
        <v>43572</v>
      </c>
      <c r="I114" s="828">
        <v>3507.03</v>
      </c>
      <c r="J114" s="828">
        <v>3057.32</v>
      </c>
      <c r="K114" s="829" t="s">
        <v>702</v>
      </c>
      <c r="L114" s="810" t="str">
        <f t="shared" si="11"/>
        <v>4/2019</v>
      </c>
      <c r="M114" s="835">
        <f>_xlfn.XLOOKUP(L114,'Série Histórica IPCA'!$N$313:$N$447,'Série Histórica IPCA'!$J$313:$J$447,0)</f>
        <v>1.6655460625853646</v>
      </c>
      <c r="N114" s="828">
        <f t="shared" si="12"/>
        <v>2105.633749063757</v>
      </c>
      <c r="P114"/>
      <c r="Q114"/>
    </row>
    <row r="115" spans="3:17">
      <c r="C115" s="838" t="s">
        <v>821</v>
      </c>
      <c r="D115" s="826">
        <v>884501</v>
      </c>
      <c r="E115" s="840" t="s">
        <v>827</v>
      </c>
      <c r="F115" s="839">
        <v>43565</v>
      </c>
      <c r="G115" s="839">
        <v>43572</v>
      </c>
      <c r="H115" s="839">
        <v>43572</v>
      </c>
      <c r="I115" s="828">
        <v>2107.81</v>
      </c>
      <c r="J115" s="828">
        <v>1840.43</v>
      </c>
      <c r="K115" s="829" t="s">
        <v>702</v>
      </c>
      <c r="L115" s="810" t="str">
        <f t="shared" si="11"/>
        <v>4/2019</v>
      </c>
      <c r="M115" s="835">
        <f>_xlfn.XLOOKUP(L115,'Série Histórica IPCA'!$N$313:$N$447,'Série Histórica IPCA'!$J$313:$J$447,0)</f>
        <v>1.6655460625853646</v>
      </c>
      <c r="N115" s="828">
        <f t="shared" si="12"/>
        <v>1265.5368994887633</v>
      </c>
      <c r="P115"/>
      <c r="Q115"/>
    </row>
    <row r="116" spans="3:17">
      <c r="C116" s="830" t="s">
        <v>821</v>
      </c>
      <c r="D116" s="831" t="s">
        <v>828</v>
      </c>
      <c r="E116" s="836" t="s">
        <v>829</v>
      </c>
      <c r="F116" s="837">
        <v>43565</v>
      </c>
      <c r="G116" s="837">
        <v>43572</v>
      </c>
      <c r="H116" s="837">
        <v>43572</v>
      </c>
      <c r="I116" s="833">
        <v>1405.21</v>
      </c>
      <c r="J116" s="833">
        <v>1226.96</v>
      </c>
      <c r="K116" s="834" t="s">
        <v>705</v>
      </c>
      <c r="L116" s="810" t="str">
        <f t="shared" si="11"/>
        <v>4/2019</v>
      </c>
      <c r="M116" s="835">
        <f>_xlfn.XLOOKUP(L116,'Série Histórica IPCA'!$N$313:$N$447,'Série Histórica IPCA'!$J$313:$J$447,0)</f>
        <v>1.6655460625853646</v>
      </c>
      <c r="N116" s="833">
        <f t="shared" si="12"/>
        <v>843.69326767147186</v>
      </c>
      <c r="P116"/>
      <c r="Q116"/>
    </row>
    <row r="117" spans="3:17">
      <c r="C117" s="830" t="s">
        <v>821</v>
      </c>
      <c r="D117" s="831" t="s">
        <v>830</v>
      </c>
      <c r="E117" s="836" t="s">
        <v>831</v>
      </c>
      <c r="F117" s="837">
        <v>43565</v>
      </c>
      <c r="G117" s="837">
        <v>43572</v>
      </c>
      <c r="H117" s="837">
        <v>43572</v>
      </c>
      <c r="I117" s="833">
        <v>2338.02</v>
      </c>
      <c r="J117" s="833">
        <v>2038.21</v>
      </c>
      <c r="K117" s="834" t="s">
        <v>705</v>
      </c>
      <c r="L117" s="810" t="str">
        <f t="shared" si="11"/>
        <v>4/2019</v>
      </c>
      <c r="M117" s="835">
        <f>_xlfn.XLOOKUP(L117,'Série Histórica IPCA'!$N$313:$N$447,'Série Histórica IPCA'!$J$313:$J$447,0)</f>
        <v>1.6655460625853646</v>
      </c>
      <c r="N117" s="833">
        <f t="shared" si="12"/>
        <v>1403.7558327091713</v>
      </c>
      <c r="P117"/>
      <c r="Q117"/>
    </row>
    <row r="118" spans="3:17">
      <c r="C118" s="830" t="s">
        <v>821</v>
      </c>
      <c r="D118" s="831" t="s">
        <v>832</v>
      </c>
      <c r="E118" s="836" t="s">
        <v>823</v>
      </c>
      <c r="F118" s="837">
        <v>43565</v>
      </c>
      <c r="G118" s="837">
        <v>43572</v>
      </c>
      <c r="H118" s="837">
        <v>43572</v>
      </c>
      <c r="I118" s="833">
        <v>23480.95</v>
      </c>
      <c r="J118" s="833">
        <v>20502.400000000001</v>
      </c>
      <c r="K118" s="834" t="s">
        <v>705</v>
      </c>
      <c r="L118" s="810" t="str">
        <f t="shared" si="11"/>
        <v>4/2019</v>
      </c>
      <c r="M118" s="835">
        <f>_xlfn.XLOOKUP(L118,'Série Histórica IPCA'!$N$313:$N$447,'Série Histórica IPCA'!$J$313:$J$447,0)</f>
        <v>1.6655460625853646</v>
      </c>
      <c r="N118" s="833">
        <f t="shared" si="12"/>
        <v>14098.048998747836</v>
      </c>
      <c r="P118"/>
      <c r="Q118"/>
    </row>
    <row r="119" spans="3:17">
      <c r="C119" s="830" t="s">
        <v>821</v>
      </c>
      <c r="D119" s="831" t="s">
        <v>833</v>
      </c>
      <c r="E119" s="836" t="s">
        <v>823</v>
      </c>
      <c r="F119" s="837">
        <v>43565</v>
      </c>
      <c r="G119" s="837">
        <v>43572</v>
      </c>
      <c r="H119" s="837">
        <v>43572</v>
      </c>
      <c r="I119" s="833">
        <v>39068.19</v>
      </c>
      <c r="J119" s="833">
        <v>34058.49</v>
      </c>
      <c r="K119" s="834" t="s">
        <v>705</v>
      </c>
      <c r="L119" s="810" t="str">
        <f t="shared" si="11"/>
        <v>4/2019</v>
      </c>
      <c r="M119" s="835">
        <f>_xlfn.XLOOKUP(L119,'Série Histórica IPCA'!$N$313:$N$447,'Série Histórica IPCA'!$J$313:$J$447,0)</f>
        <v>1.6655460625853646</v>
      </c>
      <c r="N119" s="833">
        <f t="shared" si="12"/>
        <v>23456.685394432094</v>
      </c>
      <c r="P119"/>
      <c r="Q119"/>
    </row>
    <row r="120" spans="3:17">
      <c r="C120" s="838" t="s">
        <v>821</v>
      </c>
      <c r="D120" s="826" t="s">
        <v>834</v>
      </c>
      <c r="E120" s="838" t="s">
        <v>835</v>
      </c>
      <c r="F120" s="839">
        <v>43592</v>
      </c>
      <c r="G120" s="839">
        <v>43608</v>
      </c>
      <c r="H120" s="839">
        <v>43608</v>
      </c>
      <c r="I120" s="828">
        <v>970.91</v>
      </c>
      <c r="J120" s="828">
        <v>851</v>
      </c>
      <c r="K120" s="825" t="s">
        <v>702</v>
      </c>
      <c r="L120" s="810" t="str">
        <f t="shared" si="11"/>
        <v>5/2019</v>
      </c>
      <c r="M120" s="835">
        <f>_xlfn.XLOOKUP(L120,'Série Histórica IPCA'!$N$313:$N$447,'Série Histórica IPCA'!$J$313:$J$447,0)</f>
        <v>1.6677115686644552</v>
      </c>
      <c r="N120" s="828">
        <f t="shared" si="12"/>
        <v>582.18100674178856</v>
      </c>
      <c r="P120"/>
      <c r="Q120"/>
    </row>
    <row r="121" spans="3:17">
      <c r="C121" s="838" t="s">
        <v>821</v>
      </c>
      <c r="D121" s="826" t="s">
        <v>836</v>
      </c>
      <c r="E121" s="838" t="s">
        <v>837</v>
      </c>
      <c r="F121" s="827">
        <v>43592</v>
      </c>
      <c r="G121" s="839">
        <v>43608</v>
      </c>
      <c r="H121" s="827">
        <v>43608</v>
      </c>
      <c r="I121" s="828">
        <v>16223.7</v>
      </c>
      <c r="J121" s="828">
        <v>14220.07</v>
      </c>
      <c r="K121" s="829" t="s">
        <v>702</v>
      </c>
      <c r="L121" s="810" t="str">
        <f t="shared" si="11"/>
        <v>5/2019</v>
      </c>
      <c r="M121" s="835">
        <f>_xlfn.XLOOKUP(L121,'Série Histórica IPCA'!$N$313:$N$447,'Série Histórica IPCA'!$J$313:$J$447,0)</f>
        <v>1.6677115686644552</v>
      </c>
      <c r="N121" s="828">
        <f t="shared" si="12"/>
        <v>9728.1210401342614</v>
      </c>
      <c r="P121"/>
      <c r="Q121"/>
    </row>
    <row r="122" spans="3:17">
      <c r="C122" s="838" t="s">
        <v>821</v>
      </c>
      <c r="D122" s="826">
        <v>887601</v>
      </c>
      <c r="E122" s="840" t="s">
        <v>838</v>
      </c>
      <c r="F122" s="839">
        <v>43592</v>
      </c>
      <c r="G122" s="839">
        <v>43608</v>
      </c>
      <c r="H122" s="827">
        <v>43608</v>
      </c>
      <c r="I122" s="828">
        <v>1615.4</v>
      </c>
      <c r="J122" s="828">
        <v>1419.14</v>
      </c>
      <c r="K122" s="829" t="s">
        <v>702</v>
      </c>
      <c r="L122" s="810" t="str">
        <f t="shared" si="11"/>
        <v>5/2019</v>
      </c>
      <c r="M122" s="835">
        <f>_xlfn.XLOOKUP(L122,'Série Histórica IPCA'!$N$313:$N$447,'Série Histórica IPCA'!$J$313:$J$447,0)</f>
        <v>1.6677115686644552</v>
      </c>
      <c r="N122" s="828">
        <f t="shared" si="12"/>
        <v>968.63272423879175</v>
      </c>
      <c r="P122"/>
      <c r="Q122"/>
    </row>
    <row r="123" spans="3:17">
      <c r="C123" s="838" t="s">
        <v>821</v>
      </c>
      <c r="D123" s="826" t="s">
        <v>839</v>
      </c>
      <c r="E123" s="838" t="s">
        <v>840</v>
      </c>
      <c r="F123" s="827">
        <v>43592</v>
      </c>
      <c r="G123" s="839">
        <v>43608</v>
      </c>
      <c r="H123" s="827">
        <v>43608</v>
      </c>
      <c r="I123" s="828">
        <v>26590.58</v>
      </c>
      <c r="J123" s="828">
        <v>23359.82</v>
      </c>
      <c r="K123" s="829" t="s">
        <v>702</v>
      </c>
      <c r="L123" s="810" t="str">
        <f t="shared" si="11"/>
        <v>5/2019</v>
      </c>
      <c r="M123" s="835">
        <f>_xlfn.XLOOKUP(L123,'Série Histórica IPCA'!$N$313:$N$447,'Série Histórica IPCA'!$J$313:$J$447,0)</f>
        <v>1.6677115686644552</v>
      </c>
      <c r="N123" s="828">
        <f t="shared" si="12"/>
        <v>15944.351828952291</v>
      </c>
      <c r="P123"/>
      <c r="Q123"/>
    </row>
    <row r="124" spans="3:17">
      <c r="C124" s="838" t="s">
        <v>821</v>
      </c>
      <c r="D124" s="826" t="s">
        <v>841</v>
      </c>
      <c r="E124" s="838" t="s">
        <v>840</v>
      </c>
      <c r="F124" s="827">
        <v>43592</v>
      </c>
      <c r="G124" s="839">
        <v>43608</v>
      </c>
      <c r="H124" s="839">
        <v>43608</v>
      </c>
      <c r="I124" s="828">
        <v>15981.6</v>
      </c>
      <c r="J124" s="828">
        <v>14055.82</v>
      </c>
      <c r="K124" s="829" t="s">
        <v>702</v>
      </c>
      <c r="L124" s="810" t="str">
        <f t="shared" si="11"/>
        <v>5/2019</v>
      </c>
      <c r="M124" s="835">
        <f>_xlfn.XLOOKUP(L124,'Série Histórica IPCA'!$N$313:$N$447,'Série Histórica IPCA'!$J$313:$J$447,0)</f>
        <v>1.6677115686644552</v>
      </c>
      <c r="N124" s="828">
        <f t="shared" si="12"/>
        <v>9582.9520525533444</v>
      </c>
      <c r="P124"/>
      <c r="Q124"/>
    </row>
    <row r="125" spans="3:17">
      <c r="C125" s="838" t="s">
        <v>821</v>
      </c>
      <c r="D125" s="826">
        <v>887901</v>
      </c>
      <c r="E125" s="840" t="s">
        <v>842</v>
      </c>
      <c r="F125" s="839">
        <v>43592</v>
      </c>
      <c r="G125" s="839">
        <v>43608</v>
      </c>
      <c r="H125" s="827">
        <v>43608</v>
      </c>
      <c r="I125" s="828">
        <v>1591.3</v>
      </c>
      <c r="J125" s="828">
        <v>1397.97</v>
      </c>
      <c r="K125" s="829" t="s">
        <v>702</v>
      </c>
      <c r="L125" s="810" t="str">
        <f t="shared" si="11"/>
        <v>5/2019</v>
      </c>
      <c r="M125" s="835">
        <f>_xlfn.XLOOKUP(L125,'Série Histórica IPCA'!$N$313:$N$447,'Série Histórica IPCA'!$J$313:$J$447,0)</f>
        <v>1.6677115686644552</v>
      </c>
      <c r="N125" s="828">
        <f t="shared" si="12"/>
        <v>954.18178412850637</v>
      </c>
      <c r="P125"/>
      <c r="Q125"/>
    </row>
    <row r="126" spans="3:17">
      <c r="C126" s="838" t="s">
        <v>821</v>
      </c>
      <c r="D126" s="826" t="s">
        <v>843</v>
      </c>
      <c r="E126" s="838" t="s">
        <v>844</v>
      </c>
      <c r="F126" s="827">
        <v>43592</v>
      </c>
      <c r="G126" s="827">
        <v>43608</v>
      </c>
      <c r="H126" s="827">
        <v>43608</v>
      </c>
      <c r="I126" s="828">
        <v>956.41</v>
      </c>
      <c r="J126" s="828">
        <v>841.17</v>
      </c>
      <c r="K126" s="825" t="s">
        <v>702</v>
      </c>
      <c r="L126" s="810" t="str">
        <f t="shared" si="11"/>
        <v>5/2019</v>
      </c>
      <c r="M126" s="835">
        <f>_xlfn.XLOOKUP(L126,'Série Histórica IPCA'!$N$313:$N$447,'Série Histórica IPCA'!$J$313:$J$447,0)</f>
        <v>1.6677115686644552</v>
      </c>
      <c r="N126" s="828">
        <f t="shared" si="12"/>
        <v>573.4864577127787</v>
      </c>
      <c r="P126"/>
      <c r="Q126"/>
    </row>
    <row r="127" spans="3:17">
      <c r="C127" s="838" t="s">
        <v>821</v>
      </c>
      <c r="D127" s="826" t="s">
        <v>845</v>
      </c>
      <c r="E127" s="838" t="s">
        <v>837</v>
      </c>
      <c r="F127" s="827">
        <v>43595</v>
      </c>
      <c r="G127" s="827">
        <v>43608</v>
      </c>
      <c r="H127" s="827">
        <v>43608</v>
      </c>
      <c r="I127" s="828">
        <v>26993.38</v>
      </c>
      <c r="J127" s="828">
        <v>23713.69</v>
      </c>
      <c r="K127" s="829" t="s">
        <v>702</v>
      </c>
      <c r="L127" s="810" t="str">
        <f t="shared" si="11"/>
        <v>5/2019</v>
      </c>
      <c r="M127" s="835">
        <f>_xlfn.XLOOKUP(L127,'Série Histórica IPCA'!$N$313:$N$447,'Série Histórica IPCA'!$J$313:$J$447,0)</f>
        <v>1.6677115686644552</v>
      </c>
      <c r="N127" s="828">
        <f t="shared" si="12"/>
        <v>16185.880404737474</v>
      </c>
      <c r="P127"/>
      <c r="Q127"/>
    </row>
    <row r="128" spans="3:17">
      <c r="C128" s="830" t="s">
        <v>821</v>
      </c>
      <c r="D128" s="831" t="s">
        <v>846</v>
      </c>
      <c r="E128" s="830" t="s">
        <v>837</v>
      </c>
      <c r="F128" s="832">
        <v>43593</v>
      </c>
      <c r="G128" s="837">
        <v>43608</v>
      </c>
      <c r="H128" s="837">
        <v>43608</v>
      </c>
      <c r="I128" s="833">
        <v>17995.599999999999</v>
      </c>
      <c r="J128" s="833">
        <v>15809.13</v>
      </c>
      <c r="K128" s="834" t="s">
        <v>705</v>
      </c>
      <c r="L128" s="810" t="str">
        <f t="shared" si="11"/>
        <v>5/2019</v>
      </c>
      <c r="M128" s="835">
        <f>_xlfn.XLOOKUP(L128,'Série Histórica IPCA'!$N$313:$N$447,'Série Histórica IPCA'!$J$313:$J$447,0)</f>
        <v>1.6677115686644552</v>
      </c>
      <c r="N128" s="833">
        <f t="shared" si="12"/>
        <v>10790.594931479262</v>
      </c>
      <c r="P128"/>
      <c r="Q128"/>
    </row>
    <row r="129" spans="3:17">
      <c r="C129" s="830" t="s">
        <v>821</v>
      </c>
      <c r="D129" s="831" t="s">
        <v>847</v>
      </c>
      <c r="E129" s="830" t="s">
        <v>837</v>
      </c>
      <c r="F129" s="832">
        <v>43593</v>
      </c>
      <c r="G129" s="837">
        <v>43608</v>
      </c>
      <c r="H129" s="837">
        <v>43608</v>
      </c>
      <c r="I129" s="833">
        <v>10815.8</v>
      </c>
      <c r="J129" s="833">
        <v>9480.0499999999993</v>
      </c>
      <c r="K129" s="834" t="s">
        <v>705</v>
      </c>
      <c r="L129" s="810" t="str">
        <f t="shared" si="11"/>
        <v>5/2019</v>
      </c>
      <c r="M129" s="835">
        <f>_xlfn.XLOOKUP(L129,'Série Histórica IPCA'!$N$313:$N$447,'Série Histórica IPCA'!$J$313:$J$447,0)</f>
        <v>1.6677115686644552</v>
      </c>
      <c r="N129" s="833">
        <f t="shared" si="12"/>
        <v>6485.4140267561734</v>
      </c>
      <c r="P129"/>
      <c r="Q129"/>
    </row>
    <row r="130" spans="3:17">
      <c r="C130" s="830" t="s">
        <v>821</v>
      </c>
      <c r="D130" s="831">
        <v>267001</v>
      </c>
      <c r="E130" s="841" t="s">
        <v>848</v>
      </c>
      <c r="F130" s="837">
        <v>43593</v>
      </c>
      <c r="G130" s="837">
        <v>43608</v>
      </c>
      <c r="H130" s="832">
        <v>43608</v>
      </c>
      <c r="I130" s="833">
        <v>1076.93</v>
      </c>
      <c r="J130" s="833">
        <v>946.09</v>
      </c>
      <c r="K130" s="830" t="s">
        <v>705</v>
      </c>
      <c r="L130" s="810" t="str">
        <f t="shared" si="11"/>
        <v>5/2019</v>
      </c>
      <c r="M130" s="835">
        <f>_xlfn.XLOOKUP(L130,'Série Histórica IPCA'!$N$313:$N$447,'Série Histórica IPCA'!$J$313:$J$447,0)</f>
        <v>1.6677115686644552</v>
      </c>
      <c r="N130" s="833">
        <f t="shared" si="12"/>
        <v>645.75315074562457</v>
      </c>
      <c r="P130"/>
      <c r="Q130"/>
    </row>
    <row r="131" spans="3:17">
      <c r="C131" s="830" t="s">
        <v>821</v>
      </c>
      <c r="D131" s="831">
        <v>267101</v>
      </c>
      <c r="E131" s="841" t="s">
        <v>848</v>
      </c>
      <c r="F131" s="837">
        <v>43593</v>
      </c>
      <c r="G131" s="837">
        <v>43608</v>
      </c>
      <c r="H131" s="832">
        <v>43608</v>
      </c>
      <c r="I131" s="833">
        <v>647.27</v>
      </c>
      <c r="J131" s="833">
        <v>567.34</v>
      </c>
      <c r="K131" s="830" t="s">
        <v>705</v>
      </c>
      <c r="L131" s="810" t="str">
        <f t="shared" si="11"/>
        <v>5/2019</v>
      </c>
      <c r="M131" s="835">
        <f>_xlfn.XLOOKUP(L131,'Série Histórica IPCA'!$N$313:$N$447,'Série Histórica IPCA'!$J$313:$J$447,0)</f>
        <v>1.6677115686644552</v>
      </c>
      <c r="N131" s="833">
        <f t="shared" si="12"/>
        <v>388.11867241428916</v>
      </c>
      <c r="P131"/>
      <c r="Q131"/>
    </row>
    <row r="132" spans="3:17">
      <c r="C132" s="830" t="s">
        <v>821</v>
      </c>
      <c r="D132" s="831" t="s">
        <v>849</v>
      </c>
      <c r="E132" s="830" t="s">
        <v>840</v>
      </c>
      <c r="F132" s="832">
        <v>43593</v>
      </c>
      <c r="G132" s="832">
        <v>43608</v>
      </c>
      <c r="H132" s="832">
        <v>43608</v>
      </c>
      <c r="I132" s="833">
        <v>17727.05</v>
      </c>
      <c r="J132" s="833">
        <v>15573.21</v>
      </c>
      <c r="K132" s="834" t="s">
        <v>705</v>
      </c>
      <c r="L132" s="810" t="str">
        <f t="shared" si="11"/>
        <v>5/2019</v>
      </c>
      <c r="M132" s="835">
        <f>_xlfn.XLOOKUP(L132,'Série Histórica IPCA'!$N$313:$N$447,'Série Histórica IPCA'!$J$313:$J$447,0)</f>
        <v>1.6677115686644552</v>
      </c>
      <c r="N132" s="833">
        <f t="shared" si="12"/>
        <v>10629.56588722129</v>
      </c>
      <c r="P132"/>
      <c r="Q132"/>
    </row>
    <row r="133" spans="3:17">
      <c r="C133" s="830" t="s">
        <v>821</v>
      </c>
      <c r="D133" s="831" t="s">
        <v>850</v>
      </c>
      <c r="E133" s="830" t="s">
        <v>840</v>
      </c>
      <c r="F133" s="832">
        <v>43593</v>
      </c>
      <c r="G133" s="832">
        <v>43608</v>
      </c>
      <c r="H133" s="832">
        <v>43608</v>
      </c>
      <c r="I133" s="833">
        <v>10654.41</v>
      </c>
      <c r="J133" s="833">
        <v>9370.56</v>
      </c>
      <c r="K133" s="834" t="s">
        <v>705</v>
      </c>
      <c r="L133" s="810" t="str">
        <f t="shared" si="11"/>
        <v>5/2019</v>
      </c>
      <c r="M133" s="835">
        <f>_xlfn.XLOOKUP(L133,'Série Histórica IPCA'!$N$313:$N$447,'Série Histórica IPCA'!$J$313:$J$447,0)</f>
        <v>1.6677115686644552</v>
      </c>
      <c r="N133" s="833">
        <f t="shared" si="12"/>
        <v>6388.6406979429394</v>
      </c>
      <c r="P133"/>
      <c r="Q133"/>
    </row>
    <row r="134" spans="3:17">
      <c r="C134" s="830" t="s">
        <v>821</v>
      </c>
      <c r="D134" s="831" t="s">
        <v>851</v>
      </c>
      <c r="E134" s="830" t="s">
        <v>844</v>
      </c>
      <c r="F134" s="832">
        <v>43593</v>
      </c>
      <c r="G134" s="832">
        <v>43608</v>
      </c>
      <c r="H134" s="832">
        <v>43608</v>
      </c>
      <c r="I134" s="833">
        <v>1060.8599999999999</v>
      </c>
      <c r="J134" s="833">
        <v>931.96</v>
      </c>
      <c r="K134" s="830" t="s">
        <v>705</v>
      </c>
      <c r="L134" s="810" t="str">
        <f t="shared" si="11"/>
        <v>5/2019</v>
      </c>
      <c r="M134" s="835">
        <f>_xlfn.XLOOKUP(L134,'Série Histórica IPCA'!$N$313:$N$447,'Série Histórica IPCA'!$J$313:$J$447,0)</f>
        <v>1.6677115686644552</v>
      </c>
      <c r="N134" s="833">
        <f t="shared" si="12"/>
        <v>636.11719192519774</v>
      </c>
      <c r="P134"/>
      <c r="Q134"/>
    </row>
    <row r="135" spans="3:17">
      <c r="C135" s="830" t="s">
        <v>821</v>
      </c>
      <c r="D135" s="831" t="s">
        <v>852</v>
      </c>
      <c r="E135" s="830" t="s">
        <v>853</v>
      </c>
      <c r="F135" s="832">
        <v>43593</v>
      </c>
      <c r="G135" s="832">
        <v>43608</v>
      </c>
      <c r="H135" s="832">
        <v>43608</v>
      </c>
      <c r="I135" s="833">
        <v>637.62</v>
      </c>
      <c r="J135" s="833">
        <v>560.79</v>
      </c>
      <c r="K135" s="830" t="s">
        <v>705</v>
      </c>
      <c r="L135" s="810" t="str">
        <f t="shared" si="11"/>
        <v>5/2019</v>
      </c>
      <c r="M135" s="835">
        <f>_xlfn.XLOOKUP(L135,'Série Histórica IPCA'!$N$313:$N$447,'Série Histórica IPCA'!$J$313:$J$447,0)</f>
        <v>1.6677115686644552</v>
      </c>
      <c r="N135" s="833">
        <f t="shared" si="12"/>
        <v>382.33230012946535</v>
      </c>
      <c r="P135"/>
      <c r="Q135"/>
    </row>
    <row r="136" spans="3:17">
      <c r="C136" s="838" t="s">
        <v>854</v>
      </c>
      <c r="D136" s="810" t="s">
        <v>855</v>
      </c>
      <c r="E136" s="838" t="s">
        <v>856</v>
      </c>
      <c r="F136" s="827">
        <v>43623</v>
      </c>
      <c r="G136" s="827">
        <v>43641</v>
      </c>
      <c r="H136" s="827">
        <v>43641</v>
      </c>
      <c r="I136" s="828">
        <v>1591.3</v>
      </c>
      <c r="J136" s="828">
        <v>1397.96</v>
      </c>
      <c r="K136" s="829" t="s">
        <v>702</v>
      </c>
      <c r="L136" s="810" t="str">
        <f t="shared" si="11"/>
        <v>6/2019</v>
      </c>
      <c r="M136" s="835">
        <f>_xlfn.XLOOKUP(L136,'Série Histórica IPCA'!$N$313:$N$447,'Série Histórica IPCA'!$J$313:$J$447,0)</f>
        <v>1.6678779000028789</v>
      </c>
      <c r="N136" s="828">
        <f t="shared" si="12"/>
        <v>954.08662708298561</v>
      </c>
      <c r="P136"/>
      <c r="Q136"/>
    </row>
    <row r="137" spans="3:17">
      <c r="C137" s="838" t="s">
        <v>854</v>
      </c>
      <c r="D137" s="810" t="s">
        <v>857</v>
      </c>
      <c r="E137" s="838" t="s">
        <v>858</v>
      </c>
      <c r="F137" s="827">
        <v>43623</v>
      </c>
      <c r="G137" s="827">
        <v>43641</v>
      </c>
      <c r="H137" s="827">
        <v>43641</v>
      </c>
      <c r="I137" s="828">
        <v>26590.58</v>
      </c>
      <c r="J137" s="828">
        <v>23359.83</v>
      </c>
      <c r="K137" s="829" t="s">
        <v>702</v>
      </c>
      <c r="L137" s="810" t="str">
        <f t="shared" si="11"/>
        <v>6/2019</v>
      </c>
      <c r="M137" s="835">
        <f>_xlfn.XLOOKUP(L137,'Série Histórica IPCA'!$N$313:$N$447,'Série Histórica IPCA'!$J$313:$J$447,0)</f>
        <v>1.6678779000028789</v>
      </c>
      <c r="N137" s="828">
        <f t="shared" si="12"/>
        <v>15942.761757292967</v>
      </c>
      <c r="P137"/>
      <c r="Q137"/>
    </row>
    <row r="138" spans="3:17">
      <c r="C138" s="838" t="s">
        <v>854</v>
      </c>
      <c r="D138" s="810" t="s">
        <v>859</v>
      </c>
      <c r="E138" s="838" t="s">
        <v>858</v>
      </c>
      <c r="F138" s="827">
        <v>43623</v>
      </c>
      <c r="G138" s="827">
        <v>43641</v>
      </c>
      <c r="H138" s="827">
        <v>43641</v>
      </c>
      <c r="I138" s="828">
        <v>15981.6</v>
      </c>
      <c r="J138" s="828">
        <v>14055.82</v>
      </c>
      <c r="K138" s="829" t="s">
        <v>702</v>
      </c>
      <c r="L138" s="810" t="str">
        <f t="shared" si="11"/>
        <v>6/2019</v>
      </c>
      <c r="M138" s="835">
        <f>_xlfn.XLOOKUP(L138,'Série Histórica IPCA'!$N$313:$N$447,'Série Histórica IPCA'!$J$313:$J$447,0)</f>
        <v>1.6678779000028789</v>
      </c>
      <c r="N138" s="828">
        <f t="shared" si="12"/>
        <v>9581.996379934295</v>
      </c>
      <c r="P138"/>
      <c r="Q138"/>
    </row>
    <row r="139" spans="3:17">
      <c r="C139" s="838" t="s">
        <v>854</v>
      </c>
      <c r="D139" s="810" t="s">
        <v>860</v>
      </c>
      <c r="E139" s="840" t="s">
        <v>861</v>
      </c>
      <c r="F139" s="839">
        <v>43623</v>
      </c>
      <c r="G139" s="827">
        <v>43641</v>
      </c>
      <c r="H139" s="827">
        <v>43641</v>
      </c>
      <c r="I139" s="828">
        <v>956.41</v>
      </c>
      <c r="J139" s="828">
        <v>841.17</v>
      </c>
      <c r="K139" s="825" t="s">
        <v>702</v>
      </c>
      <c r="L139" s="810" t="str">
        <f t="shared" si="11"/>
        <v>6/2019</v>
      </c>
      <c r="M139" s="835">
        <f>_xlfn.XLOOKUP(L139,'Série Histórica IPCA'!$N$313:$N$447,'Série Histórica IPCA'!$J$313:$J$447,0)</f>
        <v>1.6678779000028789</v>
      </c>
      <c r="N139" s="828">
        <f t="shared" si="12"/>
        <v>573.4292660142263</v>
      </c>
      <c r="P139"/>
      <c r="Q139"/>
    </row>
    <row r="140" spans="3:17">
      <c r="C140" s="836" t="s">
        <v>821</v>
      </c>
      <c r="D140" s="842" t="s">
        <v>862</v>
      </c>
      <c r="E140" s="830" t="s">
        <v>858</v>
      </c>
      <c r="F140" s="832">
        <v>43622</v>
      </c>
      <c r="G140" s="832">
        <v>43641</v>
      </c>
      <c r="H140" s="832">
        <v>43641</v>
      </c>
      <c r="I140" s="833">
        <v>17727.05</v>
      </c>
      <c r="J140" s="833">
        <v>15573.21</v>
      </c>
      <c r="K140" s="834" t="s">
        <v>705</v>
      </c>
      <c r="L140" s="810" t="str">
        <f t="shared" si="11"/>
        <v>6/2019</v>
      </c>
      <c r="M140" s="835">
        <f>_xlfn.XLOOKUP(L140,'Série Histórica IPCA'!$N$313:$N$447,'Série Histórica IPCA'!$J$313:$J$447,0)</f>
        <v>1.6678779000028789</v>
      </c>
      <c r="N140" s="833">
        <f t="shared" si="12"/>
        <v>10628.505839647734</v>
      </c>
      <c r="P140"/>
      <c r="Q140"/>
    </row>
    <row r="141" spans="3:17">
      <c r="C141" s="836" t="s">
        <v>821</v>
      </c>
      <c r="D141" s="842" t="s">
        <v>863</v>
      </c>
      <c r="E141" s="830" t="s">
        <v>858</v>
      </c>
      <c r="F141" s="832">
        <v>43622</v>
      </c>
      <c r="G141" s="832">
        <v>43641</v>
      </c>
      <c r="H141" s="832">
        <v>43641</v>
      </c>
      <c r="I141" s="833">
        <v>10654.41</v>
      </c>
      <c r="J141" s="833">
        <v>9370.5499999999993</v>
      </c>
      <c r="K141" s="834" t="s">
        <v>705</v>
      </c>
      <c r="L141" s="810" t="str">
        <f t="shared" si="11"/>
        <v>6/2019</v>
      </c>
      <c r="M141" s="835">
        <f>_xlfn.XLOOKUP(L141,'Série Histórica IPCA'!$N$313:$N$447,'Série Histórica IPCA'!$J$313:$J$447,0)</f>
        <v>1.6678779000028789</v>
      </c>
      <c r="N141" s="833">
        <f t="shared" si="12"/>
        <v>6388.00358226559</v>
      </c>
      <c r="P141"/>
      <c r="Q141"/>
    </row>
    <row r="142" spans="3:17">
      <c r="C142" s="836" t="s">
        <v>821</v>
      </c>
      <c r="D142" s="842" t="s">
        <v>864</v>
      </c>
      <c r="E142" s="841" t="s">
        <v>865</v>
      </c>
      <c r="F142" s="837">
        <v>43622</v>
      </c>
      <c r="G142" s="832">
        <v>43641</v>
      </c>
      <c r="H142" s="832">
        <v>43641</v>
      </c>
      <c r="I142" s="833">
        <v>1060.8599999999999</v>
      </c>
      <c r="J142" s="833">
        <v>931.97</v>
      </c>
      <c r="K142" s="830" t="s">
        <v>705</v>
      </c>
      <c r="L142" s="810" t="str">
        <f t="shared" si="11"/>
        <v>6/2019</v>
      </c>
      <c r="M142" s="835">
        <f>_xlfn.XLOOKUP(L142,'Série Histórica IPCA'!$N$313:$N$447,'Série Histórica IPCA'!$J$313:$J$447,0)</f>
        <v>1.6678779000028789</v>
      </c>
      <c r="N142" s="833">
        <f t="shared" si="12"/>
        <v>636.05375429350602</v>
      </c>
      <c r="P142"/>
      <c r="Q142"/>
    </row>
    <row r="143" spans="3:17">
      <c r="C143" s="836" t="s">
        <v>821</v>
      </c>
      <c r="D143" s="842" t="s">
        <v>866</v>
      </c>
      <c r="E143" s="841" t="s">
        <v>861</v>
      </c>
      <c r="F143" s="837">
        <v>43622</v>
      </c>
      <c r="G143" s="837">
        <v>43641</v>
      </c>
      <c r="H143" s="837">
        <v>43641</v>
      </c>
      <c r="I143" s="833">
        <v>637.62</v>
      </c>
      <c r="J143" s="833">
        <v>560.79</v>
      </c>
      <c r="K143" s="830" t="s">
        <v>705</v>
      </c>
      <c r="L143" s="810" t="str">
        <f t="shared" si="11"/>
        <v>6/2019</v>
      </c>
      <c r="M143" s="835">
        <f>_xlfn.XLOOKUP(L143,'Série Histórica IPCA'!$N$313:$N$447,'Série Histórica IPCA'!$J$313:$J$447,0)</f>
        <v>1.6678779000028789</v>
      </c>
      <c r="N143" s="833">
        <f t="shared" si="12"/>
        <v>382.29417153311965</v>
      </c>
      <c r="P143"/>
      <c r="Q143"/>
    </row>
    <row r="144" spans="3:17">
      <c r="C144" s="838" t="s">
        <v>854</v>
      </c>
      <c r="D144" s="810" t="s">
        <v>867</v>
      </c>
      <c r="E144" s="838" t="s">
        <v>868</v>
      </c>
      <c r="F144" s="827">
        <v>43636</v>
      </c>
      <c r="G144" s="827">
        <v>43644</v>
      </c>
      <c r="H144" s="827">
        <v>43644</v>
      </c>
      <c r="I144" s="828">
        <v>1591.3</v>
      </c>
      <c r="J144" s="828">
        <v>1401.93</v>
      </c>
      <c r="K144" s="829" t="s">
        <v>702</v>
      </c>
      <c r="L144" s="810" t="str">
        <f t="shared" si="11"/>
        <v>6/2019</v>
      </c>
      <c r="M144" s="835">
        <f>_xlfn.XLOOKUP(L144,'Série Histórica IPCA'!$N$313:$N$447,'Série Histórica IPCA'!$J$313:$J$447,0)</f>
        <v>1.6678779000028789</v>
      </c>
      <c r="N144" s="828">
        <f t="shared" si="12"/>
        <v>954.08662708298561</v>
      </c>
      <c r="P144"/>
      <c r="Q144"/>
    </row>
    <row r="145" spans="3:17">
      <c r="C145" s="838" t="s">
        <v>854</v>
      </c>
      <c r="D145" s="810" t="s">
        <v>869</v>
      </c>
      <c r="E145" s="838" t="s">
        <v>870</v>
      </c>
      <c r="F145" s="827">
        <v>43636</v>
      </c>
      <c r="G145" s="827">
        <v>43644</v>
      </c>
      <c r="H145" s="827">
        <v>43644</v>
      </c>
      <c r="I145" s="828">
        <v>15981.6</v>
      </c>
      <c r="J145" s="828">
        <v>14103.78</v>
      </c>
      <c r="K145" s="829" t="s">
        <v>702</v>
      </c>
      <c r="L145" s="810" t="str">
        <f t="shared" si="11"/>
        <v>6/2019</v>
      </c>
      <c r="M145" s="835">
        <f>_xlfn.XLOOKUP(L145,'Série Histórica IPCA'!$N$313:$N$447,'Série Histórica IPCA'!$J$313:$J$447,0)</f>
        <v>1.6678779000028789</v>
      </c>
      <c r="N145" s="828">
        <f t="shared" si="12"/>
        <v>9581.996379934295</v>
      </c>
      <c r="P145"/>
      <c r="Q145"/>
    </row>
    <row r="146" spans="3:17">
      <c r="C146" s="838" t="s">
        <v>854</v>
      </c>
      <c r="D146" s="810" t="s">
        <v>871</v>
      </c>
      <c r="E146" s="838" t="s">
        <v>870</v>
      </c>
      <c r="F146" s="827">
        <v>43636</v>
      </c>
      <c r="G146" s="827">
        <v>43644</v>
      </c>
      <c r="H146" s="827">
        <v>43644</v>
      </c>
      <c r="I146" s="828">
        <v>26590.58</v>
      </c>
      <c r="J146" s="828">
        <v>23426.28</v>
      </c>
      <c r="K146" s="829" t="s">
        <v>702</v>
      </c>
      <c r="L146" s="810" t="str">
        <f t="shared" si="11"/>
        <v>6/2019</v>
      </c>
      <c r="M146" s="835">
        <f>_xlfn.XLOOKUP(L146,'Série Histórica IPCA'!$N$313:$N$447,'Série Histórica IPCA'!$J$313:$J$447,0)</f>
        <v>1.6678779000028789</v>
      </c>
      <c r="N146" s="828">
        <f t="shared" si="12"/>
        <v>15942.761757292967</v>
      </c>
      <c r="P146"/>
      <c r="Q146"/>
    </row>
    <row r="147" spans="3:17">
      <c r="C147" s="838" t="s">
        <v>854</v>
      </c>
      <c r="D147" s="810" t="s">
        <v>872</v>
      </c>
      <c r="E147" s="838" t="s">
        <v>868</v>
      </c>
      <c r="F147" s="827">
        <v>43636</v>
      </c>
      <c r="G147" s="827">
        <v>43644</v>
      </c>
      <c r="H147" s="827">
        <v>43644</v>
      </c>
      <c r="I147" s="828">
        <v>956.41</v>
      </c>
      <c r="J147" s="828">
        <v>844.03</v>
      </c>
      <c r="K147" s="825" t="s">
        <v>702</v>
      </c>
      <c r="L147" s="810" t="str">
        <f t="shared" si="11"/>
        <v>6/2019</v>
      </c>
      <c r="M147" s="835">
        <f>_xlfn.XLOOKUP(L147,'Série Histórica IPCA'!$N$313:$N$447,'Série Histórica IPCA'!$J$313:$J$447,0)</f>
        <v>1.6678779000028789</v>
      </c>
      <c r="N147" s="828">
        <f t="shared" si="12"/>
        <v>573.4292660142263</v>
      </c>
      <c r="P147"/>
      <c r="Q147"/>
    </row>
    <row r="148" spans="3:17">
      <c r="C148" s="836" t="s">
        <v>821</v>
      </c>
      <c r="D148" s="842" t="s">
        <v>873</v>
      </c>
      <c r="E148" s="830" t="s">
        <v>870</v>
      </c>
      <c r="F148" s="832">
        <v>43635</v>
      </c>
      <c r="G148" s="837">
        <v>43644</v>
      </c>
      <c r="H148" s="837">
        <v>43644</v>
      </c>
      <c r="I148" s="833">
        <v>17727.05</v>
      </c>
      <c r="J148" s="833">
        <v>15617.53</v>
      </c>
      <c r="K148" s="834" t="s">
        <v>705</v>
      </c>
      <c r="L148" s="810" t="str">
        <f t="shared" si="11"/>
        <v>6/2019</v>
      </c>
      <c r="M148" s="835">
        <f>_xlfn.XLOOKUP(L148,'Série Histórica IPCA'!$N$313:$N$447,'Série Histórica IPCA'!$J$313:$J$447,0)</f>
        <v>1.6678779000028789</v>
      </c>
      <c r="N148" s="833">
        <f t="shared" si="12"/>
        <v>10628.505839647734</v>
      </c>
      <c r="P148"/>
      <c r="Q148"/>
    </row>
    <row r="149" spans="3:17">
      <c r="C149" s="836" t="s">
        <v>821</v>
      </c>
      <c r="D149" s="842" t="s">
        <v>874</v>
      </c>
      <c r="E149" s="830" t="s">
        <v>870</v>
      </c>
      <c r="F149" s="832">
        <v>43635</v>
      </c>
      <c r="G149" s="837">
        <v>43644</v>
      </c>
      <c r="H149" s="837">
        <v>43644</v>
      </c>
      <c r="I149" s="833">
        <v>10654.41</v>
      </c>
      <c r="J149" s="833">
        <v>9402.52</v>
      </c>
      <c r="K149" s="834" t="s">
        <v>705</v>
      </c>
      <c r="L149" s="810" t="str">
        <f t="shared" si="11"/>
        <v>6/2019</v>
      </c>
      <c r="M149" s="835">
        <f>_xlfn.XLOOKUP(L149,'Série Histórica IPCA'!$N$313:$N$447,'Série Histórica IPCA'!$J$313:$J$447,0)</f>
        <v>1.6678779000028789</v>
      </c>
      <c r="N149" s="833">
        <f t="shared" si="12"/>
        <v>6388.00358226559</v>
      </c>
      <c r="P149"/>
      <c r="Q149"/>
    </row>
    <row r="150" spans="3:17">
      <c r="C150" s="836" t="s">
        <v>821</v>
      </c>
      <c r="D150" s="842" t="s">
        <v>875</v>
      </c>
      <c r="E150" s="830" t="s">
        <v>876</v>
      </c>
      <c r="F150" s="832">
        <v>43635</v>
      </c>
      <c r="G150" s="832">
        <v>43644</v>
      </c>
      <c r="H150" s="832">
        <v>43644</v>
      </c>
      <c r="I150" s="833">
        <v>1060.8599999999999</v>
      </c>
      <c r="J150" s="833">
        <v>934.62</v>
      </c>
      <c r="K150" s="830" t="s">
        <v>705</v>
      </c>
      <c r="L150" s="810" t="str">
        <f t="shared" si="11"/>
        <v>6/2019</v>
      </c>
      <c r="M150" s="835">
        <f>_xlfn.XLOOKUP(L150,'Série Histórica IPCA'!$N$313:$N$447,'Série Histórica IPCA'!$J$313:$J$447,0)</f>
        <v>1.6678779000028789</v>
      </c>
      <c r="N150" s="833">
        <f t="shared" si="12"/>
        <v>636.05375429350602</v>
      </c>
      <c r="P150"/>
      <c r="Q150"/>
    </row>
    <row r="151" spans="3:17">
      <c r="C151" s="836" t="s">
        <v>821</v>
      </c>
      <c r="D151" s="842" t="s">
        <v>877</v>
      </c>
      <c r="E151" s="830" t="s">
        <v>876</v>
      </c>
      <c r="F151" s="832">
        <v>43635</v>
      </c>
      <c r="G151" s="832">
        <v>43644</v>
      </c>
      <c r="H151" s="832">
        <v>43644</v>
      </c>
      <c r="I151" s="833">
        <v>637.62</v>
      </c>
      <c r="J151" s="833">
        <v>562.70000000000005</v>
      </c>
      <c r="K151" s="830" t="s">
        <v>705</v>
      </c>
      <c r="L151" s="810" t="str">
        <f t="shared" si="11"/>
        <v>6/2019</v>
      </c>
      <c r="M151" s="835">
        <f>_xlfn.XLOOKUP(L151,'Série Histórica IPCA'!$N$313:$N$447,'Série Histórica IPCA'!$J$313:$J$447,0)</f>
        <v>1.6678779000028789</v>
      </c>
      <c r="N151" s="833">
        <f t="shared" si="12"/>
        <v>382.29417153311965</v>
      </c>
      <c r="P151"/>
      <c r="Q151"/>
    </row>
    <row r="152" spans="3:17">
      <c r="C152" s="830" t="s">
        <v>821</v>
      </c>
      <c r="D152" s="831" t="s">
        <v>878</v>
      </c>
      <c r="E152" s="836" t="s">
        <v>879</v>
      </c>
      <c r="F152" s="837">
        <v>43661</v>
      </c>
      <c r="G152" s="837">
        <v>43671</v>
      </c>
      <c r="H152" s="837">
        <v>43671</v>
      </c>
      <c r="I152" s="833">
        <v>141000</v>
      </c>
      <c r="J152" s="833">
        <v>137968.5</v>
      </c>
      <c r="K152" s="834" t="s">
        <v>1449</v>
      </c>
      <c r="L152" s="810" t="str">
        <f t="shared" si="11"/>
        <v>7/2019</v>
      </c>
      <c r="M152" s="835">
        <f>_xlfn.XLOOKUP(L152,'Série Histórica IPCA'!$N$313:$N$447,'Série Histórica IPCA'!$J$313:$J$447,0)</f>
        <v>1.6710477914716806</v>
      </c>
      <c r="N152" s="833">
        <f t="shared" si="12"/>
        <v>84378.197152471766</v>
      </c>
      <c r="P152"/>
      <c r="Q152"/>
    </row>
    <row r="153" spans="3:17">
      <c r="C153" s="838" t="s">
        <v>854</v>
      </c>
      <c r="D153" s="810" t="s">
        <v>880</v>
      </c>
      <c r="E153" s="838" t="s">
        <v>881</v>
      </c>
      <c r="F153" s="827">
        <v>43668</v>
      </c>
      <c r="G153" s="827">
        <v>43686</v>
      </c>
      <c r="H153" s="827">
        <v>43686</v>
      </c>
      <c r="I153" s="828">
        <v>25723.4</v>
      </c>
      <c r="J153" s="828">
        <v>22700.9</v>
      </c>
      <c r="K153" s="829" t="s">
        <v>702</v>
      </c>
      <c r="L153" s="810" t="str">
        <f t="shared" si="11"/>
        <v>8/2019</v>
      </c>
      <c r="M153" s="835">
        <f>_xlfn.XLOOKUP(L153,'Série Histórica IPCA'!$N$313:$N$447,'Série Histórica IPCA'!$J$313:$J$447,0)</f>
        <v>1.6728870322330942</v>
      </c>
      <c r="N153" s="828">
        <f t="shared" si="12"/>
        <v>15376.650965882909</v>
      </c>
      <c r="P153"/>
      <c r="Q153"/>
    </row>
    <row r="154" spans="3:17">
      <c r="C154" s="838" t="s">
        <v>854</v>
      </c>
      <c r="D154" s="810" t="s">
        <v>882</v>
      </c>
      <c r="E154" s="838" t="s">
        <v>881</v>
      </c>
      <c r="F154" s="827">
        <v>43668</v>
      </c>
      <c r="G154" s="827">
        <v>43686</v>
      </c>
      <c r="H154" s="827">
        <v>43686</v>
      </c>
      <c r="I154" s="828">
        <v>42799.22</v>
      </c>
      <c r="J154" s="828">
        <v>37663.32</v>
      </c>
      <c r="K154" s="829" t="s">
        <v>702</v>
      </c>
      <c r="L154" s="810" t="str">
        <f t="shared" si="11"/>
        <v>8/2019</v>
      </c>
      <c r="M154" s="835">
        <f>_xlfn.XLOOKUP(L154,'Série Histórica IPCA'!$N$313:$N$447,'Série Histórica IPCA'!$J$313:$J$447,0)</f>
        <v>1.6728870322330942</v>
      </c>
      <c r="N154" s="828">
        <f t="shared" si="12"/>
        <v>25584.046726017365</v>
      </c>
      <c r="P154"/>
      <c r="Q154"/>
    </row>
    <row r="155" spans="3:17">
      <c r="C155" s="838" t="s">
        <v>854</v>
      </c>
      <c r="D155" s="810" t="s">
        <v>883</v>
      </c>
      <c r="E155" s="838" t="s">
        <v>884</v>
      </c>
      <c r="F155" s="827">
        <v>43668</v>
      </c>
      <c r="G155" s="827">
        <v>43686</v>
      </c>
      <c r="H155" s="827">
        <v>43686</v>
      </c>
      <c r="I155" s="828">
        <v>1539.41</v>
      </c>
      <c r="J155" s="828">
        <v>1358.53</v>
      </c>
      <c r="K155" s="829" t="s">
        <v>702</v>
      </c>
      <c r="L155" s="810" t="str">
        <f t="shared" si="11"/>
        <v>8/2019</v>
      </c>
      <c r="M155" s="835">
        <f>_xlfn.XLOOKUP(L155,'Série Histórica IPCA'!$N$313:$N$447,'Série Histórica IPCA'!$J$313:$J$447,0)</f>
        <v>1.6728870322330942</v>
      </c>
      <c r="N155" s="828">
        <f t="shared" si="12"/>
        <v>920.21156858696008</v>
      </c>
      <c r="P155"/>
      <c r="Q155"/>
    </row>
    <row r="156" spans="3:17">
      <c r="C156" s="838" t="s">
        <v>854</v>
      </c>
      <c r="D156" s="810" t="s">
        <v>885</v>
      </c>
      <c r="E156" s="838" t="s">
        <v>881</v>
      </c>
      <c r="F156" s="827">
        <v>43668</v>
      </c>
      <c r="G156" s="827">
        <v>43686</v>
      </c>
      <c r="H156" s="827">
        <v>43686</v>
      </c>
      <c r="I156" s="828">
        <v>2561.3000000000002</v>
      </c>
      <c r="J156" s="828">
        <v>2253.96</v>
      </c>
      <c r="K156" s="829" t="s">
        <v>702</v>
      </c>
      <c r="L156" s="810" t="str">
        <f t="shared" si="11"/>
        <v>8/2019</v>
      </c>
      <c r="M156" s="835">
        <f>_xlfn.XLOOKUP(L156,'Série Histórica IPCA'!$N$313:$N$447,'Série Histórica IPCA'!$J$313:$J$447,0)</f>
        <v>1.6728870322330942</v>
      </c>
      <c r="N156" s="828">
        <f t="shared" si="12"/>
        <v>1531.0657268835339</v>
      </c>
      <c r="P156"/>
      <c r="Q156"/>
    </row>
    <row r="157" spans="3:17">
      <c r="C157" s="836" t="s">
        <v>821</v>
      </c>
      <c r="D157" s="842" t="s">
        <v>886</v>
      </c>
      <c r="E157" s="830" t="s">
        <v>881</v>
      </c>
      <c r="F157" s="832">
        <v>43668</v>
      </c>
      <c r="G157" s="837">
        <v>43686</v>
      </c>
      <c r="H157" s="837">
        <v>43686</v>
      </c>
      <c r="I157" s="833">
        <v>28532.82</v>
      </c>
      <c r="J157" s="833">
        <v>25108.880000000001</v>
      </c>
      <c r="K157" s="834" t="s">
        <v>705</v>
      </c>
      <c r="L157" s="810" t="str">
        <f t="shared" si="11"/>
        <v>8/2019</v>
      </c>
      <c r="M157" s="835">
        <f>_xlfn.XLOOKUP(L157,'Série Histórica IPCA'!$N$313:$N$447,'Série Histórica IPCA'!$J$313:$J$447,0)</f>
        <v>1.6728870322330942</v>
      </c>
      <c r="N157" s="833">
        <f t="shared" si="12"/>
        <v>17056.035135804876</v>
      </c>
      <c r="P157"/>
      <c r="Q157"/>
    </row>
    <row r="158" spans="3:17">
      <c r="C158" s="836" t="s">
        <v>821</v>
      </c>
      <c r="D158" s="842" t="s">
        <v>887</v>
      </c>
      <c r="E158" s="830" t="s">
        <v>881</v>
      </c>
      <c r="F158" s="832">
        <v>43668</v>
      </c>
      <c r="G158" s="837">
        <v>43686</v>
      </c>
      <c r="H158" s="837">
        <v>43686</v>
      </c>
      <c r="I158" s="833">
        <v>17148.93</v>
      </c>
      <c r="J158" s="833">
        <v>15133.93</v>
      </c>
      <c r="K158" s="834" t="s">
        <v>705</v>
      </c>
      <c r="L158" s="810" t="str">
        <f t="shared" ref="L158:L221" si="13">MONTH(H158)&amp;"/"&amp;YEAR(H158)</f>
        <v>8/2019</v>
      </c>
      <c r="M158" s="835">
        <f>_xlfn.XLOOKUP(L158,'Série Histórica IPCA'!$N$313:$N$447,'Série Histórica IPCA'!$J$313:$J$447,0)</f>
        <v>1.6728870322330942</v>
      </c>
      <c r="N158" s="833">
        <f t="shared" ref="N158:N221" si="14">I158/M158</f>
        <v>10251.098651358623</v>
      </c>
      <c r="P158"/>
      <c r="Q158"/>
    </row>
    <row r="159" spans="3:17">
      <c r="C159" s="836" t="s">
        <v>821</v>
      </c>
      <c r="D159" s="842" t="s">
        <v>888</v>
      </c>
      <c r="E159" s="841" t="s">
        <v>889</v>
      </c>
      <c r="F159" s="837">
        <v>43668</v>
      </c>
      <c r="G159" s="837">
        <v>43686</v>
      </c>
      <c r="H159" s="837">
        <v>43686</v>
      </c>
      <c r="I159" s="833">
        <v>1707.53</v>
      </c>
      <c r="J159" s="833">
        <v>1502.63</v>
      </c>
      <c r="K159" s="834" t="s">
        <v>705</v>
      </c>
      <c r="L159" s="810" t="str">
        <f t="shared" si="13"/>
        <v>8/2019</v>
      </c>
      <c r="M159" s="835">
        <f>_xlfn.XLOOKUP(L159,'Série Histórica IPCA'!$N$313:$N$447,'Série Histórica IPCA'!$J$313:$J$447,0)</f>
        <v>1.6728870322330942</v>
      </c>
      <c r="N159" s="833">
        <f t="shared" si="14"/>
        <v>1020.7084920257058</v>
      </c>
      <c r="P159"/>
      <c r="Q159"/>
    </row>
    <row r="160" spans="3:17">
      <c r="C160" s="836" t="s">
        <v>821</v>
      </c>
      <c r="D160" s="842" t="s">
        <v>890</v>
      </c>
      <c r="E160" s="841" t="s">
        <v>889</v>
      </c>
      <c r="F160" s="837">
        <v>43668</v>
      </c>
      <c r="G160" s="837">
        <v>43686</v>
      </c>
      <c r="H160" s="837">
        <v>43686</v>
      </c>
      <c r="I160" s="833">
        <v>1026.27</v>
      </c>
      <c r="J160" s="833">
        <v>905.69</v>
      </c>
      <c r="K160" s="830" t="s">
        <v>705</v>
      </c>
      <c r="L160" s="810" t="str">
        <f t="shared" si="13"/>
        <v>8/2019</v>
      </c>
      <c r="M160" s="835">
        <f>_xlfn.XLOOKUP(L160,'Série Histórica IPCA'!$N$313:$N$447,'Série Histórica IPCA'!$J$313:$J$447,0)</f>
        <v>1.6728870322330942</v>
      </c>
      <c r="N160" s="833">
        <f t="shared" si="14"/>
        <v>613.47238649465669</v>
      </c>
      <c r="P160"/>
      <c r="Q160"/>
    </row>
    <row r="161" spans="3:17">
      <c r="C161" s="838" t="s">
        <v>854</v>
      </c>
      <c r="D161" s="810" t="s">
        <v>891</v>
      </c>
      <c r="E161" s="838" t="s">
        <v>892</v>
      </c>
      <c r="F161" s="827">
        <v>43686</v>
      </c>
      <c r="G161" s="827">
        <v>43713</v>
      </c>
      <c r="H161" s="827">
        <v>43713</v>
      </c>
      <c r="I161" s="828">
        <v>26590.58</v>
      </c>
      <c r="J161" s="828">
        <v>23399.7</v>
      </c>
      <c r="K161" s="829" t="s">
        <v>702</v>
      </c>
      <c r="L161" s="810" t="str">
        <f t="shared" si="13"/>
        <v>9/2019</v>
      </c>
      <c r="M161" s="835">
        <f>_xlfn.XLOOKUP(L161,'Série Histórica IPCA'!$N$313:$N$447,'Série Histórica IPCA'!$J$313:$J$447,0)</f>
        <v>1.6722185081998151</v>
      </c>
      <c r="N161" s="828">
        <f t="shared" si="14"/>
        <v>15901.37883871733</v>
      </c>
      <c r="P161"/>
      <c r="Q161"/>
    </row>
    <row r="162" spans="3:17">
      <c r="C162" s="838" t="s">
        <v>854</v>
      </c>
      <c r="D162" s="810" t="s">
        <v>893</v>
      </c>
      <c r="E162" s="838" t="s">
        <v>894</v>
      </c>
      <c r="F162" s="827">
        <v>43686</v>
      </c>
      <c r="G162" s="827">
        <v>43713</v>
      </c>
      <c r="H162" s="827">
        <v>43713</v>
      </c>
      <c r="I162" s="828">
        <v>1591.3</v>
      </c>
      <c r="J162" s="828">
        <v>1400.34</v>
      </c>
      <c r="K162" s="829" t="s">
        <v>702</v>
      </c>
      <c r="L162" s="810" t="str">
        <f t="shared" si="13"/>
        <v>9/2019</v>
      </c>
      <c r="M162" s="835">
        <f>_xlfn.XLOOKUP(L162,'Série Histórica IPCA'!$N$313:$N$447,'Série Histórica IPCA'!$J$313:$J$447,0)</f>
        <v>1.6722185081998151</v>
      </c>
      <c r="N162" s="828">
        <f t="shared" si="14"/>
        <v>951.61008695751968</v>
      </c>
      <c r="P162"/>
      <c r="Q162"/>
    </row>
    <row r="163" spans="3:17">
      <c r="C163" s="838" t="s">
        <v>854</v>
      </c>
      <c r="D163" s="810" t="s">
        <v>895</v>
      </c>
      <c r="E163" s="838" t="s">
        <v>892</v>
      </c>
      <c r="F163" s="827">
        <v>43686</v>
      </c>
      <c r="G163" s="827">
        <v>43713</v>
      </c>
      <c r="H163" s="827">
        <v>43713</v>
      </c>
      <c r="I163" s="828">
        <v>15981.6</v>
      </c>
      <c r="J163" s="828">
        <v>14103.77</v>
      </c>
      <c r="K163" s="829" t="s">
        <v>702</v>
      </c>
      <c r="L163" s="810" t="str">
        <f t="shared" si="13"/>
        <v>9/2019</v>
      </c>
      <c r="M163" s="835">
        <f>_xlfn.XLOOKUP(L163,'Série Histórica IPCA'!$N$313:$N$447,'Série Histórica IPCA'!$J$313:$J$447,0)</f>
        <v>1.6722185081998151</v>
      </c>
      <c r="N163" s="828">
        <f t="shared" si="14"/>
        <v>9557.1242165024178</v>
      </c>
      <c r="P163"/>
      <c r="Q163"/>
    </row>
    <row r="164" spans="3:17">
      <c r="C164" s="838" t="s">
        <v>854</v>
      </c>
      <c r="D164" s="810" t="s">
        <v>896</v>
      </c>
      <c r="E164" s="838" t="s">
        <v>894</v>
      </c>
      <c r="F164" s="827">
        <v>43686</v>
      </c>
      <c r="G164" s="827">
        <v>43713</v>
      </c>
      <c r="H164" s="827">
        <v>43713</v>
      </c>
      <c r="I164" s="828">
        <v>956.41</v>
      </c>
      <c r="J164" s="828">
        <v>844.03</v>
      </c>
      <c r="K164" s="825" t="s">
        <v>702</v>
      </c>
      <c r="L164" s="810" t="str">
        <f t="shared" si="13"/>
        <v>9/2019</v>
      </c>
      <c r="M164" s="835">
        <f>_xlfn.XLOOKUP(L164,'Série Histórica IPCA'!$N$313:$N$447,'Série Histórica IPCA'!$J$313:$J$447,0)</f>
        <v>1.6722185081998151</v>
      </c>
      <c r="N164" s="828">
        <f t="shared" si="14"/>
        <v>571.94080517001282</v>
      </c>
      <c r="P164"/>
      <c r="Q164"/>
    </row>
    <row r="165" spans="3:17">
      <c r="C165" s="836" t="s">
        <v>821</v>
      </c>
      <c r="D165" s="842" t="s">
        <v>897</v>
      </c>
      <c r="E165" s="830" t="s">
        <v>892</v>
      </c>
      <c r="F165" s="832">
        <v>43686</v>
      </c>
      <c r="G165" s="837">
        <v>43713</v>
      </c>
      <c r="H165" s="837">
        <v>43713</v>
      </c>
      <c r="I165" s="833">
        <v>17727.05</v>
      </c>
      <c r="J165" s="833">
        <v>15599.8</v>
      </c>
      <c r="K165" s="834" t="s">
        <v>705</v>
      </c>
      <c r="L165" s="810" t="str">
        <f t="shared" si="13"/>
        <v>9/2019</v>
      </c>
      <c r="M165" s="835">
        <f>_xlfn.XLOOKUP(L165,'Série Histórica IPCA'!$N$313:$N$447,'Série Histórica IPCA'!$J$313:$J$447,0)</f>
        <v>1.6722185081998151</v>
      </c>
      <c r="N165" s="833">
        <f t="shared" si="14"/>
        <v>10600.917232451644</v>
      </c>
      <c r="P165"/>
      <c r="Q165"/>
    </row>
    <row r="166" spans="3:17">
      <c r="C166" s="836" t="s">
        <v>821</v>
      </c>
      <c r="D166" s="842" t="s">
        <v>898</v>
      </c>
      <c r="E166" s="830" t="s">
        <v>892</v>
      </c>
      <c r="F166" s="832">
        <v>43686</v>
      </c>
      <c r="G166" s="837">
        <v>43713</v>
      </c>
      <c r="H166" s="837">
        <v>43713</v>
      </c>
      <c r="I166" s="833">
        <v>10654.41</v>
      </c>
      <c r="J166" s="833">
        <v>9402.52</v>
      </c>
      <c r="K166" s="834" t="s">
        <v>705</v>
      </c>
      <c r="L166" s="810" t="str">
        <f t="shared" si="13"/>
        <v>9/2019</v>
      </c>
      <c r="M166" s="835">
        <f>_xlfn.XLOOKUP(L166,'Série Histórica IPCA'!$N$313:$N$447,'Série Histórica IPCA'!$J$313:$J$447,0)</f>
        <v>1.6722185081998151</v>
      </c>
      <c r="N166" s="833">
        <f t="shared" si="14"/>
        <v>6371.422124414672</v>
      </c>
      <c r="P166"/>
      <c r="Q166"/>
    </row>
    <row r="167" spans="3:17">
      <c r="C167" s="836" t="s">
        <v>821</v>
      </c>
      <c r="D167" s="842" t="s">
        <v>899</v>
      </c>
      <c r="E167" s="836" t="s">
        <v>900</v>
      </c>
      <c r="F167" s="837">
        <v>43686</v>
      </c>
      <c r="G167" s="837">
        <v>43713</v>
      </c>
      <c r="H167" s="837">
        <v>43713</v>
      </c>
      <c r="I167" s="833">
        <v>1060.8599999999999</v>
      </c>
      <c r="J167" s="833">
        <v>933.56</v>
      </c>
      <c r="K167" s="830" t="s">
        <v>705</v>
      </c>
      <c r="L167" s="810" t="str">
        <f t="shared" si="13"/>
        <v>9/2019</v>
      </c>
      <c r="M167" s="835">
        <f>_xlfn.XLOOKUP(L167,'Série Histórica IPCA'!$N$313:$N$447,'Série Histórica IPCA'!$J$313:$J$447,0)</f>
        <v>1.6722185081998151</v>
      </c>
      <c r="N167" s="833">
        <f t="shared" si="14"/>
        <v>634.40273791852849</v>
      </c>
      <c r="P167"/>
      <c r="Q167"/>
    </row>
    <row r="168" spans="3:17">
      <c r="C168" s="836" t="s">
        <v>821</v>
      </c>
      <c r="D168" s="842" t="s">
        <v>901</v>
      </c>
      <c r="E168" s="841" t="s">
        <v>902</v>
      </c>
      <c r="F168" s="837">
        <v>43686</v>
      </c>
      <c r="G168" s="837">
        <v>43713</v>
      </c>
      <c r="H168" s="837">
        <v>43713</v>
      </c>
      <c r="I168" s="833">
        <v>637.62</v>
      </c>
      <c r="J168" s="833">
        <v>562.69000000000005</v>
      </c>
      <c r="K168" s="830" t="s">
        <v>705</v>
      </c>
      <c r="L168" s="810" t="str">
        <f t="shared" si="13"/>
        <v>9/2019</v>
      </c>
      <c r="M168" s="835">
        <f>_xlfn.XLOOKUP(L168,'Série Histórica IPCA'!$N$313:$N$447,'Série Histórica IPCA'!$J$313:$J$447,0)</f>
        <v>1.6722185081998151</v>
      </c>
      <c r="N168" s="833">
        <f t="shared" si="14"/>
        <v>381.30184355297791</v>
      </c>
      <c r="P168"/>
      <c r="Q168"/>
    </row>
    <row r="169" spans="3:17">
      <c r="C169" s="838" t="s">
        <v>854</v>
      </c>
      <c r="D169" s="810" t="s">
        <v>903</v>
      </c>
      <c r="E169" s="838" t="s">
        <v>904</v>
      </c>
      <c r="F169" s="827">
        <v>43727</v>
      </c>
      <c r="G169" s="827">
        <v>43742</v>
      </c>
      <c r="H169" s="827">
        <v>43742</v>
      </c>
      <c r="I169" s="828">
        <v>26993.38</v>
      </c>
      <c r="J169" s="828">
        <v>23754.18</v>
      </c>
      <c r="K169" s="829" t="s">
        <v>702</v>
      </c>
      <c r="L169" s="810" t="str">
        <f t="shared" si="13"/>
        <v>10/2019</v>
      </c>
      <c r="M169" s="835">
        <f>_xlfn.XLOOKUP(L169,'Série Histórica IPCA'!$N$313:$N$447,'Série Histórica IPCA'!$J$313:$J$447,0)</f>
        <v>1.6738914176228052</v>
      </c>
      <c r="N169" s="828">
        <f t="shared" si="14"/>
        <v>16126.12366358562</v>
      </c>
      <c r="P169"/>
      <c r="Q169"/>
    </row>
    <row r="170" spans="3:17">
      <c r="C170" s="838" t="s">
        <v>854</v>
      </c>
      <c r="D170" s="810" t="s">
        <v>905</v>
      </c>
      <c r="E170" s="838" t="s">
        <v>904</v>
      </c>
      <c r="F170" s="827">
        <v>43727</v>
      </c>
      <c r="G170" s="827">
        <v>43742</v>
      </c>
      <c r="H170" s="827">
        <v>43742</v>
      </c>
      <c r="I170" s="828">
        <v>16223.7</v>
      </c>
      <c r="J170" s="828">
        <v>14317.41</v>
      </c>
      <c r="K170" s="829" t="s">
        <v>702</v>
      </c>
      <c r="L170" s="810" t="str">
        <f t="shared" si="13"/>
        <v>10/2019</v>
      </c>
      <c r="M170" s="835">
        <f>_xlfn.XLOOKUP(L170,'Série Histórica IPCA'!$N$313:$N$447,'Série Histórica IPCA'!$J$313:$J$447,0)</f>
        <v>1.6738914176228052</v>
      </c>
      <c r="N170" s="828">
        <f t="shared" si="14"/>
        <v>9692.2057364032971</v>
      </c>
      <c r="P170"/>
      <c r="Q170"/>
    </row>
    <row r="171" spans="3:17">
      <c r="C171" s="838" t="s">
        <v>854</v>
      </c>
      <c r="D171" s="810" t="s">
        <v>906</v>
      </c>
      <c r="E171" s="838" t="s">
        <v>907</v>
      </c>
      <c r="F171" s="827">
        <v>43727</v>
      </c>
      <c r="G171" s="827">
        <v>43742</v>
      </c>
      <c r="H171" s="827">
        <v>43742</v>
      </c>
      <c r="I171" s="828">
        <v>1615.4</v>
      </c>
      <c r="J171" s="828">
        <v>1421.57</v>
      </c>
      <c r="K171" s="829" t="s">
        <v>702</v>
      </c>
      <c r="L171" s="810" t="str">
        <f t="shared" si="13"/>
        <v>10/2019</v>
      </c>
      <c r="M171" s="835">
        <f>_xlfn.XLOOKUP(L171,'Série Histórica IPCA'!$N$313:$N$447,'Série Histórica IPCA'!$J$313:$J$447,0)</f>
        <v>1.6738914176228052</v>
      </c>
      <c r="N171" s="828">
        <f t="shared" si="14"/>
        <v>965.05662374093993</v>
      </c>
      <c r="P171"/>
      <c r="Q171"/>
    </row>
    <row r="172" spans="3:17">
      <c r="C172" s="838" t="s">
        <v>854</v>
      </c>
      <c r="D172" s="810" t="s">
        <v>908</v>
      </c>
      <c r="E172" s="838" t="s">
        <v>907</v>
      </c>
      <c r="F172" s="827">
        <v>43727</v>
      </c>
      <c r="G172" s="827">
        <v>43742</v>
      </c>
      <c r="H172" s="827">
        <v>43742</v>
      </c>
      <c r="I172" s="828">
        <v>970.91</v>
      </c>
      <c r="J172" s="828">
        <v>856.82</v>
      </c>
      <c r="K172" s="825" t="s">
        <v>702</v>
      </c>
      <c r="L172" s="810" t="str">
        <f t="shared" si="13"/>
        <v>10/2019</v>
      </c>
      <c r="M172" s="835">
        <f>_xlfn.XLOOKUP(L172,'Série Histórica IPCA'!$N$313:$N$447,'Série Histórica IPCA'!$J$313:$J$447,0)</f>
        <v>1.6738914176228052</v>
      </c>
      <c r="N172" s="828">
        <f t="shared" si="14"/>
        <v>580.03164947153391</v>
      </c>
      <c r="P172"/>
      <c r="Q172"/>
    </row>
    <row r="173" spans="3:17">
      <c r="C173" s="836" t="s">
        <v>821</v>
      </c>
      <c r="D173" s="842" t="s">
        <v>909</v>
      </c>
      <c r="E173" s="830" t="s">
        <v>904</v>
      </c>
      <c r="F173" s="832">
        <v>43727</v>
      </c>
      <c r="G173" s="832">
        <v>43742</v>
      </c>
      <c r="H173" s="832">
        <v>43742</v>
      </c>
      <c r="I173" s="833">
        <v>17995.599999999999</v>
      </c>
      <c r="J173" s="833">
        <v>15836.12</v>
      </c>
      <c r="K173" s="834" t="s">
        <v>705</v>
      </c>
      <c r="L173" s="810" t="str">
        <f t="shared" si="13"/>
        <v>10/2019</v>
      </c>
      <c r="M173" s="835">
        <f>_xlfn.XLOOKUP(L173,'Série Histórica IPCA'!$N$313:$N$447,'Série Histórica IPCA'!$J$313:$J$447,0)</f>
        <v>1.6738914176228052</v>
      </c>
      <c r="N173" s="833">
        <f t="shared" si="14"/>
        <v>10750.757074527954</v>
      </c>
      <c r="P173"/>
      <c r="Q173"/>
    </row>
    <row r="174" spans="3:17">
      <c r="C174" s="836" t="s">
        <v>821</v>
      </c>
      <c r="D174" s="842" t="s">
        <v>910</v>
      </c>
      <c r="E174" s="830" t="s">
        <v>904</v>
      </c>
      <c r="F174" s="832">
        <v>43727</v>
      </c>
      <c r="G174" s="832">
        <v>43742</v>
      </c>
      <c r="H174" s="832">
        <v>43742</v>
      </c>
      <c r="I174" s="833">
        <v>10815.8</v>
      </c>
      <c r="J174" s="833">
        <v>9544.94</v>
      </c>
      <c r="K174" s="834" t="s">
        <v>705</v>
      </c>
      <c r="L174" s="810" t="str">
        <f t="shared" si="13"/>
        <v>10/2019</v>
      </c>
      <c r="M174" s="835">
        <f>_xlfn.XLOOKUP(L174,'Série Histórica IPCA'!$N$313:$N$447,'Série Histórica IPCA'!$J$313:$J$447,0)</f>
        <v>1.6738914176228052</v>
      </c>
      <c r="N174" s="833">
        <f t="shared" si="14"/>
        <v>6461.4704909355305</v>
      </c>
      <c r="P174"/>
      <c r="Q174"/>
    </row>
    <row r="175" spans="3:17">
      <c r="C175" s="836" t="s">
        <v>821</v>
      </c>
      <c r="D175" s="842" t="s">
        <v>911</v>
      </c>
      <c r="E175" s="830" t="s">
        <v>907</v>
      </c>
      <c r="F175" s="832">
        <v>43727</v>
      </c>
      <c r="G175" s="832">
        <v>43742</v>
      </c>
      <c r="H175" s="832">
        <v>43742</v>
      </c>
      <c r="I175" s="833">
        <v>1076.93</v>
      </c>
      <c r="J175" s="833">
        <v>947.7</v>
      </c>
      <c r="K175" s="830" t="s">
        <v>705</v>
      </c>
      <c r="L175" s="810" t="str">
        <f t="shared" si="13"/>
        <v>10/2019</v>
      </c>
      <c r="M175" s="835">
        <f>_xlfn.XLOOKUP(L175,'Série Histórica IPCA'!$N$313:$N$447,'Série Histórica IPCA'!$J$313:$J$447,0)</f>
        <v>1.6738914176228052</v>
      </c>
      <c r="N175" s="833">
        <f t="shared" si="14"/>
        <v>643.36909112624141</v>
      </c>
      <c r="P175"/>
      <c r="Q175"/>
    </row>
    <row r="176" spans="3:17">
      <c r="C176" s="836" t="s">
        <v>821</v>
      </c>
      <c r="D176" s="842" t="s">
        <v>912</v>
      </c>
      <c r="E176" s="830" t="s">
        <v>913</v>
      </c>
      <c r="F176" s="832">
        <v>43727</v>
      </c>
      <c r="G176" s="832">
        <v>43742</v>
      </c>
      <c r="H176" s="832">
        <v>43742</v>
      </c>
      <c r="I176" s="833">
        <v>647.27</v>
      </c>
      <c r="J176" s="833">
        <v>571.21</v>
      </c>
      <c r="K176" s="830" t="s">
        <v>705</v>
      </c>
      <c r="L176" s="810" t="str">
        <f t="shared" si="13"/>
        <v>10/2019</v>
      </c>
      <c r="M176" s="835">
        <f>_xlfn.XLOOKUP(L176,'Série Histórica IPCA'!$N$313:$N$447,'Série Histórica IPCA'!$J$313:$J$447,0)</f>
        <v>1.6738914176228052</v>
      </c>
      <c r="N176" s="833">
        <f t="shared" si="14"/>
        <v>386.68577494663742</v>
      </c>
      <c r="P176"/>
      <c r="Q176"/>
    </row>
    <row r="177" spans="3:17">
      <c r="C177" s="830" t="s">
        <v>821</v>
      </c>
      <c r="D177" s="831" t="s">
        <v>914</v>
      </c>
      <c r="E177" s="836" t="s">
        <v>915</v>
      </c>
      <c r="F177" s="837">
        <v>43752</v>
      </c>
      <c r="G177" s="837">
        <v>43755</v>
      </c>
      <c r="H177" s="837">
        <v>43755</v>
      </c>
      <c r="I177" s="833">
        <v>154621.20000000001</v>
      </c>
      <c r="J177" s="833">
        <v>151296.84</v>
      </c>
      <c r="K177" s="834" t="s">
        <v>1449</v>
      </c>
      <c r="L177" s="810" t="str">
        <f t="shared" si="13"/>
        <v>10/2019</v>
      </c>
      <c r="M177" s="835">
        <f>_xlfn.XLOOKUP(L177,'Série Histórica IPCA'!$N$313:$N$447,'Série Histórica IPCA'!$J$313:$J$447,0)</f>
        <v>1.6738914176228052</v>
      </c>
      <c r="N177" s="833">
        <f t="shared" si="14"/>
        <v>92372.29988286036</v>
      </c>
      <c r="P177"/>
      <c r="Q177"/>
    </row>
    <row r="178" spans="3:17">
      <c r="C178" s="830" t="s">
        <v>821</v>
      </c>
      <c r="D178" s="831" t="s">
        <v>916</v>
      </c>
      <c r="E178" s="830" t="s">
        <v>917</v>
      </c>
      <c r="F178" s="832">
        <v>43755</v>
      </c>
      <c r="G178" s="832">
        <v>43742</v>
      </c>
      <c r="H178" s="832">
        <v>43773</v>
      </c>
      <c r="I178" s="833">
        <v>17727.05</v>
      </c>
      <c r="J178" s="833">
        <v>15608.67</v>
      </c>
      <c r="K178" s="834" t="s">
        <v>705</v>
      </c>
      <c r="L178" s="810" t="str">
        <f t="shared" si="13"/>
        <v>11/2019</v>
      </c>
      <c r="M178" s="835">
        <f>_xlfn.XLOOKUP(L178,'Série Histórica IPCA'!$N$313:$N$447,'Série Histórica IPCA'!$J$313:$J$447,0)</f>
        <v>1.6824286934353501</v>
      </c>
      <c r="N178" s="833">
        <f t="shared" si="14"/>
        <v>10536.583255604817</v>
      </c>
      <c r="P178"/>
      <c r="Q178"/>
    </row>
    <row r="179" spans="3:17">
      <c r="C179" s="830" t="s">
        <v>821</v>
      </c>
      <c r="D179" s="831" t="s">
        <v>918</v>
      </c>
      <c r="E179" s="830" t="s">
        <v>917</v>
      </c>
      <c r="F179" s="832">
        <v>43755</v>
      </c>
      <c r="G179" s="832">
        <v>43742</v>
      </c>
      <c r="H179" s="832">
        <v>43773</v>
      </c>
      <c r="I179" s="833">
        <v>10654.41</v>
      </c>
      <c r="J179" s="833">
        <v>9402.52</v>
      </c>
      <c r="K179" s="834" t="s">
        <v>705</v>
      </c>
      <c r="L179" s="810" t="str">
        <f t="shared" si="13"/>
        <v>11/2019</v>
      </c>
      <c r="M179" s="835">
        <f>_xlfn.XLOOKUP(L179,'Série Histórica IPCA'!$N$313:$N$447,'Série Histórica IPCA'!$J$313:$J$447,0)</f>
        <v>1.6824286934353501</v>
      </c>
      <c r="N179" s="833">
        <f t="shared" si="14"/>
        <v>6332.7557605099846</v>
      </c>
      <c r="P179"/>
      <c r="Q179"/>
    </row>
    <row r="180" spans="3:17">
      <c r="C180" s="830" t="s">
        <v>821</v>
      </c>
      <c r="D180" s="831" t="s">
        <v>919</v>
      </c>
      <c r="E180" s="830" t="s">
        <v>917</v>
      </c>
      <c r="F180" s="832">
        <v>43755</v>
      </c>
      <c r="G180" s="832">
        <v>43742</v>
      </c>
      <c r="H180" s="832">
        <v>43773</v>
      </c>
      <c r="I180" s="833">
        <v>1060.8599999999999</v>
      </c>
      <c r="J180" s="833">
        <v>934.08</v>
      </c>
      <c r="K180" s="830" t="s">
        <v>705</v>
      </c>
      <c r="L180" s="810" t="str">
        <f t="shared" si="13"/>
        <v>11/2019</v>
      </c>
      <c r="M180" s="835">
        <f>_xlfn.XLOOKUP(L180,'Série Histórica IPCA'!$N$313:$N$447,'Série Histórica IPCA'!$J$313:$J$447,0)</f>
        <v>1.6824286934353501</v>
      </c>
      <c r="N180" s="833">
        <f t="shared" si="14"/>
        <v>630.55272662630978</v>
      </c>
      <c r="P180"/>
      <c r="Q180"/>
    </row>
    <row r="181" spans="3:17">
      <c r="C181" s="830" t="s">
        <v>821</v>
      </c>
      <c r="D181" s="831" t="s">
        <v>920</v>
      </c>
      <c r="E181" s="830" t="s">
        <v>917</v>
      </c>
      <c r="F181" s="832">
        <v>43755</v>
      </c>
      <c r="G181" s="832">
        <v>43742</v>
      </c>
      <c r="H181" s="832">
        <v>43773</v>
      </c>
      <c r="I181" s="833">
        <v>637.62</v>
      </c>
      <c r="J181" s="833">
        <v>562.70000000000005</v>
      </c>
      <c r="K181" s="830" t="s">
        <v>705</v>
      </c>
      <c r="L181" s="810" t="str">
        <f t="shared" si="13"/>
        <v>11/2019</v>
      </c>
      <c r="M181" s="835">
        <f>_xlfn.XLOOKUP(L181,'Série Histórica IPCA'!$N$313:$N$447,'Série Histórica IPCA'!$J$313:$J$447,0)</f>
        <v>1.6824286934353501</v>
      </c>
      <c r="N181" s="833">
        <f t="shared" si="14"/>
        <v>378.98783020518044</v>
      </c>
      <c r="P181"/>
      <c r="Q181"/>
    </row>
    <row r="182" spans="3:17">
      <c r="C182" s="838" t="s">
        <v>821</v>
      </c>
      <c r="D182" s="826" t="s">
        <v>921</v>
      </c>
      <c r="E182" s="838" t="s">
        <v>917</v>
      </c>
      <c r="F182" s="827">
        <v>43755</v>
      </c>
      <c r="G182" s="827">
        <v>43773</v>
      </c>
      <c r="H182" s="827">
        <v>43773</v>
      </c>
      <c r="I182" s="828">
        <v>26590.58</v>
      </c>
      <c r="J182" s="828">
        <v>23413</v>
      </c>
      <c r="K182" s="829" t="s">
        <v>702</v>
      </c>
      <c r="L182" s="810" t="str">
        <f t="shared" si="13"/>
        <v>11/2019</v>
      </c>
      <c r="M182" s="835">
        <f>_xlfn.XLOOKUP(L182,'Série Histórica IPCA'!$N$313:$N$447,'Série Histórica IPCA'!$J$313:$J$447,0)</f>
        <v>1.6824286934353501</v>
      </c>
      <c r="N182" s="828">
        <f t="shared" si="14"/>
        <v>15804.877855301382</v>
      </c>
      <c r="P182"/>
      <c r="Q182"/>
    </row>
    <row r="183" spans="3:17">
      <c r="C183" s="838" t="s">
        <v>821</v>
      </c>
      <c r="D183" s="826" t="s">
        <v>922</v>
      </c>
      <c r="E183" s="838" t="s">
        <v>917</v>
      </c>
      <c r="F183" s="827">
        <v>43755</v>
      </c>
      <c r="G183" s="827">
        <v>43773</v>
      </c>
      <c r="H183" s="827">
        <v>43773</v>
      </c>
      <c r="I183" s="828">
        <v>1591.3</v>
      </c>
      <c r="J183" s="828">
        <v>1401.14</v>
      </c>
      <c r="K183" s="829" t="s">
        <v>702</v>
      </c>
      <c r="L183" s="810" t="str">
        <f t="shared" si="13"/>
        <v>11/2019</v>
      </c>
      <c r="M183" s="835">
        <f>_xlfn.XLOOKUP(L183,'Série Histórica IPCA'!$N$313:$N$447,'Série Histórica IPCA'!$J$313:$J$447,0)</f>
        <v>1.6824286934353501</v>
      </c>
      <c r="N183" s="828">
        <f t="shared" si="14"/>
        <v>945.83503372777454</v>
      </c>
      <c r="P183"/>
      <c r="Q183"/>
    </row>
    <row r="184" spans="3:17">
      <c r="C184" s="838" t="s">
        <v>821</v>
      </c>
      <c r="D184" s="826" t="s">
        <v>923</v>
      </c>
      <c r="E184" s="838" t="s">
        <v>917</v>
      </c>
      <c r="F184" s="827">
        <v>43755</v>
      </c>
      <c r="G184" s="827">
        <v>43773</v>
      </c>
      <c r="H184" s="827">
        <v>43773</v>
      </c>
      <c r="I184" s="828">
        <v>15981.6</v>
      </c>
      <c r="J184" s="828">
        <v>14103.77</v>
      </c>
      <c r="K184" s="829" t="s">
        <v>702</v>
      </c>
      <c r="L184" s="810" t="str">
        <f t="shared" si="13"/>
        <v>11/2019</v>
      </c>
      <c r="M184" s="835">
        <f>_xlfn.XLOOKUP(L184,'Série Histórica IPCA'!$N$313:$N$447,'Série Histórica IPCA'!$J$313:$J$447,0)</f>
        <v>1.6824286934353501</v>
      </c>
      <c r="N184" s="828">
        <f t="shared" si="14"/>
        <v>9499.1247250825127</v>
      </c>
      <c r="P184"/>
      <c r="Q184"/>
    </row>
    <row r="185" spans="3:17">
      <c r="C185" s="838" t="s">
        <v>821</v>
      </c>
      <c r="D185" s="826" t="s">
        <v>924</v>
      </c>
      <c r="E185" s="838" t="s">
        <v>917</v>
      </c>
      <c r="F185" s="827">
        <v>43755</v>
      </c>
      <c r="G185" s="827">
        <v>43773</v>
      </c>
      <c r="H185" s="827">
        <v>43773</v>
      </c>
      <c r="I185" s="828">
        <v>956.41</v>
      </c>
      <c r="J185" s="828">
        <v>844.03</v>
      </c>
      <c r="K185" s="825" t="s">
        <v>702</v>
      </c>
      <c r="L185" s="810" t="str">
        <f t="shared" si="13"/>
        <v>11/2019</v>
      </c>
      <c r="M185" s="835">
        <f>_xlfn.XLOOKUP(L185,'Série Histórica IPCA'!$N$313:$N$447,'Série Histórica IPCA'!$J$313:$J$447,0)</f>
        <v>1.6824286934353501</v>
      </c>
      <c r="N185" s="828">
        <f t="shared" si="14"/>
        <v>568.46985773115114</v>
      </c>
      <c r="P185"/>
      <c r="Q185"/>
    </row>
    <row r="186" spans="3:17">
      <c r="C186" s="830" t="s">
        <v>821</v>
      </c>
      <c r="D186" s="831" t="s">
        <v>925</v>
      </c>
      <c r="E186" s="836" t="s">
        <v>926</v>
      </c>
      <c r="F186" s="837">
        <v>43804</v>
      </c>
      <c r="G186" s="837">
        <v>43817</v>
      </c>
      <c r="H186" s="837">
        <v>43817</v>
      </c>
      <c r="I186" s="833">
        <v>100659.2</v>
      </c>
      <c r="J186" s="833">
        <v>98495.03</v>
      </c>
      <c r="K186" s="834" t="s">
        <v>1449</v>
      </c>
      <c r="L186" s="810" t="str">
        <f t="shared" si="13"/>
        <v>12/2019</v>
      </c>
      <c r="M186" s="835">
        <f>_xlfn.XLOOKUP(L186,'Série Histórica IPCA'!$N$313:$N$447,'Série Histórica IPCA'!$J$313:$J$447,0)</f>
        <v>1.7017775062454219</v>
      </c>
      <c r="N186" s="833">
        <f t="shared" si="14"/>
        <v>59149.447933461772</v>
      </c>
      <c r="P186"/>
      <c r="Q186"/>
    </row>
    <row r="187" spans="3:17">
      <c r="C187" s="838" t="s">
        <v>821</v>
      </c>
      <c r="D187" s="826" t="s">
        <v>927</v>
      </c>
      <c r="E187" s="838" t="s">
        <v>928</v>
      </c>
      <c r="F187" s="827">
        <v>43801</v>
      </c>
      <c r="G187" s="827">
        <v>43818</v>
      </c>
      <c r="H187" s="827">
        <v>43818</v>
      </c>
      <c r="I187" s="828">
        <v>26590.58</v>
      </c>
      <c r="J187" s="828">
        <v>23333.24</v>
      </c>
      <c r="K187" s="829" t="s">
        <v>702</v>
      </c>
      <c r="L187" s="810" t="str">
        <f t="shared" si="13"/>
        <v>12/2019</v>
      </c>
      <c r="M187" s="835">
        <f>_xlfn.XLOOKUP(L187,'Série Histórica IPCA'!$N$313:$N$447,'Série Histórica IPCA'!$J$313:$J$447,0)</f>
        <v>1.7017775062454219</v>
      </c>
      <c r="N187" s="828">
        <f t="shared" si="14"/>
        <v>15625.180085183967</v>
      </c>
      <c r="P187"/>
      <c r="Q187"/>
    </row>
    <row r="188" spans="3:17">
      <c r="C188" s="838" t="s">
        <v>821</v>
      </c>
      <c r="D188" s="826" t="s">
        <v>929</v>
      </c>
      <c r="E188" s="838" t="s">
        <v>930</v>
      </c>
      <c r="F188" s="827">
        <v>43801</v>
      </c>
      <c r="G188" s="827">
        <v>43818</v>
      </c>
      <c r="H188" s="827">
        <v>43818</v>
      </c>
      <c r="I188" s="828">
        <v>1591.3</v>
      </c>
      <c r="J188" s="828">
        <v>1396.37</v>
      </c>
      <c r="K188" s="829" t="s">
        <v>702</v>
      </c>
      <c r="L188" s="810" t="str">
        <f t="shared" si="13"/>
        <v>12/2019</v>
      </c>
      <c r="M188" s="835">
        <f>_xlfn.XLOOKUP(L188,'Série Histórica IPCA'!$N$313:$N$447,'Série Histórica IPCA'!$J$313:$J$447,0)</f>
        <v>1.7017775062454219</v>
      </c>
      <c r="N188" s="828">
        <f t="shared" si="14"/>
        <v>935.08111028617077</v>
      </c>
      <c r="P188"/>
      <c r="Q188"/>
    </row>
    <row r="189" spans="3:17">
      <c r="C189" s="838" t="s">
        <v>821</v>
      </c>
      <c r="D189" s="826" t="s">
        <v>931</v>
      </c>
      <c r="E189" s="838" t="s">
        <v>928</v>
      </c>
      <c r="F189" s="827">
        <v>43801</v>
      </c>
      <c r="G189" s="827">
        <v>43818</v>
      </c>
      <c r="H189" s="827">
        <v>43818</v>
      </c>
      <c r="I189" s="828">
        <v>15981.6</v>
      </c>
      <c r="J189" s="828">
        <v>14055.84</v>
      </c>
      <c r="K189" s="829" t="s">
        <v>702</v>
      </c>
      <c r="L189" s="810" t="str">
        <f t="shared" si="13"/>
        <v>12/2019</v>
      </c>
      <c r="M189" s="835">
        <f>_xlfn.XLOOKUP(L189,'Série Histórica IPCA'!$N$313:$N$447,'Série Histórica IPCA'!$J$313:$J$447,0)</f>
        <v>1.7017775062454219</v>
      </c>
      <c r="N189" s="828">
        <f t="shared" si="14"/>
        <v>9391.1218953996522</v>
      </c>
      <c r="P189"/>
      <c r="Q189"/>
    </row>
    <row r="190" spans="3:17">
      <c r="C190" s="838" t="s">
        <v>821</v>
      </c>
      <c r="D190" s="826" t="s">
        <v>932</v>
      </c>
      <c r="E190" s="838" t="s">
        <v>930</v>
      </c>
      <c r="F190" s="827">
        <v>43801</v>
      </c>
      <c r="G190" s="827">
        <v>43818</v>
      </c>
      <c r="H190" s="827">
        <v>43818</v>
      </c>
      <c r="I190" s="828">
        <v>956.41</v>
      </c>
      <c r="J190" s="828">
        <v>841.15</v>
      </c>
      <c r="K190" s="825" t="s">
        <v>702</v>
      </c>
      <c r="L190" s="810" t="str">
        <f t="shared" si="13"/>
        <v>12/2019</v>
      </c>
      <c r="M190" s="835">
        <f>_xlfn.XLOOKUP(L190,'Série Histórica IPCA'!$N$313:$N$447,'Série Histórica IPCA'!$J$313:$J$447,0)</f>
        <v>1.7017775062454219</v>
      </c>
      <c r="N190" s="828">
        <f t="shared" si="14"/>
        <v>562.00648821014045</v>
      </c>
      <c r="P190"/>
      <c r="Q190"/>
    </row>
    <row r="191" spans="3:17">
      <c r="C191" s="830" t="s">
        <v>821</v>
      </c>
      <c r="D191" s="831" t="s">
        <v>933</v>
      </c>
      <c r="E191" s="830" t="s">
        <v>928</v>
      </c>
      <c r="F191" s="832">
        <v>43802</v>
      </c>
      <c r="G191" s="832">
        <v>43818</v>
      </c>
      <c r="H191" s="832">
        <v>43818</v>
      </c>
      <c r="I191" s="833">
        <v>10654.41</v>
      </c>
      <c r="J191" s="833">
        <v>9370.5499999999993</v>
      </c>
      <c r="K191" s="834" t="s">
        <v>705</v>
      </c>
      <c r="L191" s="810" t="str">
        <f t="shared" si="13"/>
        <v>12/2019</v>
      </c>
      <c r="M191" s="835">
        <f>_xlfn.XLOOKUP(L191,'Série Histórica IPCA'!$N$313:$N$447,'Série Histórica IPCA'!$J$313:$J$447,0)</f>
        <v>1.7017775062454219</v>
      </c>
      <c r="N191" s="833">
        <f t="shared" si="14"/>
        <v>6260.7538064752598</v>
      </c>
      <c r="P191"/>
      <c r="Q191"/>
    </row>
    <row r="192" spans="3:17">
      <c r="C192" s="830" t="s">
        <v>821</v>
      </c>
      <c r="D192" s="831" t="s">
        <v>934</v>
      </c>
      <c r="E192" s="830" t="s">
        <v>930</v>
      </c>
      <c r="F192" s="832">
        <v>43802</v>
      </c>
      <c r="G192" s="832">
        <v>43818</v>
      </c>
      <c r="H192" s="832">
        <v>43818</v>
      </c>
      <c r="I192" s="833">
        <v>1060.8599999999999</v>
      </c>
      <c r="J192" s="833">
        <v>930.91</v>
      </c>
      <c r="K192" s="830" t="s">
        <v>705</v>
      </c>
      <c r="L192" s="810" t="str">
        <f t="shared" si="13"/>
        <v>12/2019</v>
      </c>
      <c r="M192" s="835">
        <f>_xlfn.XLOOKUP(L192,'Série Histórica IPCA'!$N$313:$N$447,'Série Histórica IPCA'!$J$313:$J$447,0)</f>
        <v>1.7017775062454219</v>
      </c>
      <c r="N192" s="833">
        <f t="shared" si="14"/>
        <v>623.3834893848973</v>
      </c>
      <c r="P192"/>
      <c r="Q192"/>
    </row>
    <row r="193" spans="3:17">
      <c r="C193" s="830" t="s">
        <v>821</v>
      </c>
      <c r="D193" s="831" t="s">
        <v>935</v>
      </c>
      <c r="E193" s="830" t="s">
        <v>928</v>
      </c>
      <c r="F193" s="832">
        <v>43802</v>
      </c>
      <c r="G193" s="832">
        <v>43818</v>
      </c>
      <c r="H193" s="832">
        <v>43818</v>
      </c>
      <c r="I193" s="833">
        <v>637.62</v>
      </c>
      <c r="J193" s="833">
        <v>560.79</v>
      </c>
      <c r="K193" s="830" t="s">
        <v>705</v>
      </c>
      <c r="L193" s="810" t="str">
        <f t="shared" si="13"/>
        <v>12/2019</v>
      </c>
      <c r="M193" s="835">
        <f>_xlfn.XLOOKUP(L193,'Série Histórica IPCA'!$N$313:$N$447,'Série Histórica IPCA'!$J$313:$J$447,0)</f>
        <v>1.7017775062454219</v>
      </c>
      <c r="N193" s="833">
        <f t="shared" si="14"/>
        <v>374.67882708519335</v>
      </c>
      <c r="P193"/>
      <c r="Q193"/>
    </row>
    <row r="194" spans="3:17">
      <c r="C194" s="830" t="s">
        <v>821</v>
      </c>
      <c r="D194" s="831" t="s">
        <v>936</v>
      </c>
      <c r="E194" s="830" t="s">
        <v>928</v>
      </c>
      <c r="F194" s="832">
        <v>43802</v>
      </c>
      <c r="G194" s="832">
        <v>43818</v>
      </c>
      <c r="H194" s="832">
        <v>43818</v>
      </c>
      <c r="I194" s="833">
        <v>17727.05</v>
      </c>
      <c r="J194" s="833">
        <v>15555.48</v>
      </c>
      <c r="K194" s="834" t="s">
        <v>705</v>
      </c>
      <c r="L194" s="810" t="str">
        <f t="shared" si="13"/>
        <v>12/2019</v>
      </c>
      <c r="M194" s="835">
        <f>_xlfn.XLOOKUP(L194,'Série Histórica IPCA'!$N$313:$N$447,'Série Histórica IPCA'!$J$313:$J$447,0)</f>
        <v>1.7017775062454219</v>
      </c>
      <c r="N194" s="833">
        <f t="shared" si="14"/>
        <v>10416.784764719703</v>
      </c>
      <c r="P194"/>
      <c r="Q194"/>
    </row>
    <row r="195" spans="3:17">
      <c r="C195" s="838" t="s">
        <v>821</v>
      </c>
      <c r="D195" s="826" t="s">
        <v>937</v>
      </c>
      <c r="E195" s="838" t="s">
        <v>938</v>
      </c>
      <c r="F195" s="827">
        <v>43819</v>
      </c>
      <c r="G195" s="827">
        <v>43839</v>
      </c>
      <c r="H195" s="827">
        <v>43839</v>
      </c>
      <c r="I195" s="828">
        <v>26993.38</v>
      </c>
      <c r="J195" s="828">
        <v>23748.34</v>
      </c>
      <c r="K195" s="829" t="s">
        <v>702</v>
      </c>
      <c r="L195" s="810" t="str">
        <f t="shared" si="13"/>
        <v>1/2020</v>
      </c>
      <c r="M195" s="835">
        <f>_xlfn.XLOOKUP(L195,'Série Histórica IPCA'!$N$313:$N$447,'Série Histórica IPCA'!$J$313:$J$447,0)</f>
        <v>1.7053504313419421</v>
      </c>
      <c r="N195" s="828">
        <f t="shared" si="14"/>
        <v>15828.641142547389</v>
      </c>
      <c r="P195"/>
      <c r="Q195"/>
    </row>
    <row r="196" spans="3:17">
      <c r="C196" s="838" t="s">
        <v>821</v>
      </c>
      <c r="D196" s="826" t="s">
        <v>939</v>
      </c>
      <c r="E196" s="838" t="s">
        <v>938</v>
      </c>
      <c r="F196" s="827">
        <v>43819</v>
      </c>
      <c r="G196" s="827">
        <v>43839</v>
      </c>
      <c r="H196" s="827">
        <v>43839</v>
      </c>
      <c r="I196" s="828">
        <v>16223.7</v>
      </c>
      <c r="J196" s="828">
        <v>14294.34</v>
      </c>
      <c r="K196" s="829" t="s">
        <v>702</v>
      </c>
      <c r="L196" s="810" t="str">
        <f t="shared" si="13"/>
        <v>1/2020</v>
      </c>
      <c r="M196" s="835">
        <f>_xlfn.XLOOKUP(L196,'Série Histórica IPCA'!$N$313:$N$447,'Série Histórica IPCA'!$J$313:$J$447,0)</f>
        <v>1.7053504313419421</v>
      </c>
      <c r="N196" s="828">
        <f t="shared" si="14"/>
        <v>9513.4112624779136</v>
      </c>
      <c r="P196"/>
      <c r="Q196"/>
    </row>
    <row r="197" spans="3:17">
      <c r="C197" s="838" t="s">
        <v>821</v>
      </c>
      <c r="D197" s="826" t="s">
        <v>940</v>
      </c>
      <c r="E197" s="838" t="s">
        <v>941</v>
      </c>
      <c r="F197" s="827">
        <v>43819</v>
      </c>
      <c r="G197" s="827">
        <v>43839</v>
      </c>
      <c r="H197" s="827">
        <v>43839</v>
      </c>
      <c r="I197" s="828">
        <v>1615.14</v>
      </c>
      <c r="J197" s="828">
        <v>1420.98</v>
      </c>
      <c r="K197" s="829" t="s">
        <v>702</v>
      </c>
      <c r="L197" s="810" t="str">
        <f t="shared" si="13"/>
        <v>1/2020</v>
      </c>
      <c r="M197" s="835">
        <f>_xlfn.XLOOKUP(L197,'Série Histórica IPCA'!$N$313:$N$447,'Série Histórica IPCA'!$J$313:$J$447,0)</f>
        <v>1.7053504313419421</v>
      </c>
      <c r="N197" s="828">
        <f t="shared" si="14"/>
        <v>947.10152841081742</v>
      </c>
      <c r="P197"/>
      <c r="Q197"/>
    </row>
    <row r="198" spans="3:17">
      <c r="C198" s="838" t="s">
        <v>821</v>
      </c>
      <c r="D198" s="826" t="s">
        <v>942</v>
      </c>
      <c r="E198" s="838" t="s">
        <v>941</v>
      </c>
      <c r="F198" s="827">
        <v>43819</v>
      </c>
      <c r="G198" s="827">
        <v>43839</v>
      </c>
      <c r="H198" s="827">
        <v>43839</v>
      </c>
      <c r="I198" s="828">
        <v>970.91</v>
      </c>
      <c r="J198" s="828">
        <v>855.44</v>
      </c>
      <c r="K198" s="825" t="s">
        <v>702</v>
      </c>
      <c r="L198" s="810" t="str">
        <f t="shared" si="13"/>
        <v>1/2020</v>
      </c>
      <c r="M198" s="835">
        <f>_xlfn.XLOOKUP(L198,'Série Histórica IPCA'!$N$313:$N$447,'Série Histórica IPCA'!$J$313:$J$447,0)</f>
        <v>1.7053504313419421</v>
      </c>
      <c r="N198" s="828">
        <f t="shared" si="14"/>
        <v>569.33166471596678</v>
      </c>
      <c r="P198"/>
      <c r="Q198"/>
    </row>
    <row r="199" spans="3:17">
      <c r="C199" s="830" t="s">
        <v>821</v>
      </c>
      <c r="D199" s="831" t="s">
        <v>943</v>
      </c>
      <c r="E199" s="830" t="s">
        <v>938</v>
      </c>
      <c r="F199" s="832">
        <v>43819</v>
      </c>
      <c r="G199" s="832">
        <v>43839</v>
      </c>
      <c r="H199" s="832">
        <v>43839</v>
      </c>
      <c r="I199" s="833">
        <v>17995.599999999999</v>
      </c>
      <c r="J199" s="833">
        <v>15832.24</v>
      </c>
      <c r="K199" s="834" t="s">
        <v>705</v>
      </c>
      <c r="L199" s="810" t="str">
        <f t="shared" si="13"/>
        <v>1/2020</v>
      </c>
      <c r="M199" s="835">
        <f>_xlfn.XLOOKUP(L199,'Série Histórica IPCA'!$N$313:$N$447,'Série Histórica IPCA'!$J$313:$J$447,0)</f>
        <v>1.7053504313419421</v>
      </c>
      <c r="N199" s="833">
        <f t="shared" si="14"/>
        <v>10552.435246894822</v>
      </c>
      <c r="P199"/>
      <c r="Q199"/>
    </row>
    <row r="200" spans="3:17">
      <c r="C200" s="830" t="s">
        <v>821</v>
      </c>
      <c r="D200" s="831" t="s">
        <v>944</v>
      </c>
      <c r="E200" s="830" t="s">
        <v>938</v>
      </c>
      <c r="F200" s="832">
        <v>43819</v>
      </c>
      <c r="G200" s="832">
        <v>43839</v>
      </c>
      <c r="H200" s="832">
        <v>43839</v>
      </c>
      <c r="I200" s="833">
        <v>10815.8</v>
      </c>
      <c r="J200" s="833">
        <v>9529.56</v>
      </c>
      <c r="K200" s="834" t="s">
        <v>705</v>
      </c>
      <c r="L200" s="810" t="str">
        <f t="shared" si="13"/>
        <v>1/2020</v>
      </c>
      <c r="M200" s="835">
        <f>_xlfn.XLOOKUP(L200,'Série Histórica IPCA'!$N$313:$N$447,'Série Histórica IPCA'!$J$313:$J$447,0)</f>
        <v>1.7053504313419421</v>
      </c>
      <c r="N200" s="833">
        <f t="shared" si="14"/>
        <v>6342.2741749852757</v>
      </c>
      <c r="P200"/>
      <c r="Q200"/>
    </row>
    <row r="201" spans="3:17">
      <c r="C201" s="830" t="s">
        <v>821</v>
      </c>
      <c r="D201" s="831" t="s">
        <v>945</v>
      </c>
      <c r="E201" s="830" t="s">
        <v>941</v>
      </c>
      <c r="F201" s="832">
        <v>43819</v>
      </c>
      <c r="G201" s="832">
        <v>43839</v>
      </c>
      <c r="H201" s="832">
        <v>43839</v>
      </c>
      <c r="I201" s="833">
        <v>1076.93</v>
      </c>
      <c r="J201" s="833">
        <v>947.48</v>
      </c>
      <c r="K201" s="830" t="s">
        <v>705</v>
      </c>
      <c r="L201" s="810" t="str">
        <f t="shared" si="13"/>
        <v>1/2020</v>
      </c>
      <c r="M201" s="835">
        <f>_xlfn.XLOOKUP(L201,'Série Histórica IPCA'!$N$313:$N$447,'Série Histórica IPCA'!$J$313:$J$447,0)</f>
        <v>1.7053504313419421</v>
      </c>
      <c r="N201" s="833">
        <f t="shared" si="14"/>
        <v>631.50070519673932</v>
      </c>
      <c r="P201"/>
      <c r="Q201"/>
    </row>
    <row r="202" spans="3:17">
      <c r="C202" s="830" t="s">
        <v>821</v>
      </c>
      <c r="D202" s="831" t="s">
        <v>946</v>
      </c>
      <c r="E202" s="830" t="s">
        <v>941</v>
      </c>
      <c r="F202" s="832">
        <v>43819</v>
      </c>
      <c r="G202" s="832">
        <v>43839</v>
      </c>
      <c r="H202" s="832">
        <v>43839</v>
      </c>
      <c r="I202" s="833">
        <v>647.27</v>
      </c>
      <c r="J202" s="833">
        <v>570.29999999999995</v>
      </c>
      <c r="K202" s="830" t="s">
        <v>705</v>
      </c>
      <c r="L202" s="810" t="str">
        <f t="shared" si="13"/>
        <v>1/2020</v>
      </c>
      <c r="M202" s="835">
        <f>_xlfn.XLOOKUP(L202,'Série Histórica IPCA'!$N$313:$N$447,'Série Histórica IPCA'!$J$313:$J$447,0)</f>
        <v>1.7053504313419421</v>
      </c>
      <c r="N202" s="833">
        <f t="shared" si="14"/>
        <v>379.5524885115035</v>
      </c>
      <c r="P202"/>
      <c r="Q202"/>
    </row>
    <row r="203" spans="3:17">
      <c r="C203" s="838" t="s">
        <v>821</v>
      </c>
      <c r="D203" s="826" t="s">
        <v>947</v>
      </c>
      <c r="E203" s="838" t="s">
        <v>948</v>
      </c>
      <c r="F203" s="827">
        <v>43862</v>
      </c>
      <c r="G203" s="827">
        <v>43892</v>
      </c>
      <c r="H203" s="827">
        <v>43892</v>
      </c>
      <c r="I203" s="828">
        <v>35221.42</v>
      </c>
      <c r="J203" s="828">
        <v>30924.47</v>
      </c>
      <c r="K203" s="829" t="s">
        <v>702</v>
      </c>
      <c r="L203" s="810" t="str">
        <f t="shared" si="13"/>
        <v>3/2020</v>
      </c>
      <c r="M203" s="835">
        <f>_xlfn.XLOOKUP(L203,'Série Histórica IPCA'!$N$313:$N$447,'Série Histórica IPCA'!$J$313:$J$447,0)</f>
        <v>1.7108105773936519</v>
      </c>
      <c r="N203" s="828">
        <f t="shared" si="14"/>
        <v>20587.56268251413</v>
      </c>
      <c r="P203"/>
      <c r="Q203"/>
    </row>
    <row r="204" spans="3:17">
      <c r="C204" s="838" t="s">
        <v>821</v>
      </c>
      <c r="D204" s="826">
        <v>984501</v>
      </c>
      <c r="E204" s="840" t="s">
        <v>949</v>
      </c>
      <c r="F204" s="839">
        <v>43862</v>
      </c>
      <c r="G204" s="827">
        <v>43892</v>
      </c>
      <c r="H204" s="827">
        <v>43892</v>
      </c>
      <c r="I204" s="828">
        <v>2107.81</v>
      </c>
      <c r="J204" s="828">
        <v>1850.66</v>
      </c>
      <c r="K204" s="829" t="s">
        <v>702</v>
      </c>
      <c r="L204" s="810" t="str">
        <f t="shared" si="13"/>
        <v>3/2020</v>
      </c>
      <c r="M204" s="835">
        <f>_xlfn.XLOOKUP(L204,'Série Histórica IPCA'!$N$313:$N$447,'Série Histórica IPCA'!$J$313:$J$447,0)</f>
        <v>1.7108105773936519</v>
      </c>
      <c r="N204" s="828">
        <f t="shared" si="14"/>
        <v>1232.0534066437442</v>
      </c>
      <c r="P204"/>
      <c r="Q204"/>
    </row>
    <row r="205" spans="3:17">
      <c r="C205" s="838" t="s">
        <v>821</v>
      </c>
      <c r="D205" s="826" t="s">
        <v>950</v>
      </c>
      <c r="E205" s="838" t="s">
        <v>948</v>
      </c>
      <c r="F205" s="827">
        <v>43862</v>
      </c>
      <c r="G205" s="827">
        <v>43892</v>
      </c>
      <c r="H205" s="827">
        <v>43892</v>
      </c>
      <c r="I205" s="828">
        <v>58602.27</v>
      </c>
      <c r="J205" s="828">
        <v>51407.11</v>
      </c>
      <c r="K205" s="829" t="s">
        <v>702</v>
      </c>
      <c r="L205" s="810" t="str">
        <f t="shared" si="13"/>
        <v>3/2020</v>
      </c>
      <c r="M205" s="835">
        <f>_xlfn.XLOOKUP(L205,'Série Histórica IPCA'!$N$313:$N$447,'Série Histórica IPCA'!$J$313:$J$447,0)</f>
        <v>1.7108105773936519</v>
      </c>
      <c r="N205" s="828">
        <f t="shared" si="14"/>
        <v>34254.096142705697</v>
      </c>
      <c r="P205"/>
      <c r="Q205"/>
    </row>
    <row r="206" spans="3:17">
      <c r="C206" s="838" t="s">
        <v>821</v>
      </c>
      <c r="D206" s="826" t="s">
        <v>951</v>
      </c>
      <c r="E206" s="838" t="s">
        <v>948</v>
      </c>
      <c r="F206" s="827">
        <v>43862</v>
      </c>
      <c r="G206" s="839">
        <v>43892</v>
      </c>
      <c r="H206" s="839">
        <v>43892</v>
      </c>
      <c r="I206" s="828">
        <v>3507.03</v>
      </c>
      <c r="J206" s="828">
        <v>3076.43</v>
      </c>
      <c r="K206" s="829" t="s">
        <v>702</v>
      </c>
      <c r="L206" s="810" t="str">
        <f t="shared" si="13"/>
        <v>3/2020</v>
      </c>
      <c r="M206" s="835">
        <f>_xlfn.XLOOKUP(L206,'Série Histórica IPCA'!$N$313:$N$447,'Série Histórica IPCA'!$J$313:$J$447,0)</f>
        <v>1.7108105773936519</v>
      </c>
      <c r="N206" s="828">
        <f t="shared" si="14"/>
        <v>2049.9230284996329</v>
      </c>
      <c r="P206"/>
      <c r="Q206"/>
    </row>
    <row r="207" spans="3:17">
      <c r="C207" s="830" t="s">
        <v>821</v>
      </c>
      <c r="D207" s="831" t="s">
        <v>952</v>
      </c>
      <c r="E207" s="830" t="s">
        <v>948</v>
      </c>
      <c r="F207" s="832">
        <v>43862</v>
      </c>
      <c r="G207" s="832">
        <v>43892</v>
      </c>
      <c r="H207" s="832">
        <v>43892</v>
      </c>
      <c r="I207" s="833">
        <v>39068.19</v>
      </c>
      <c r="J207" s="833">
        <v>34271.42</v>
      </c>
      <c r="K207" s="834" t="s">
        <v>705</v>
      </c>
      <c r="L207" s="810" t="str">
        <f t="shared" si="13"/>
        <v>3/2020</v>
      </c>
      <c r="M207" s="835">
        <f>_xlfn.XLOOKUP(L207,'Série Histórica IPCA'!$N$313:$N$447,'Série Histórica IPCA'!$J$313:$J$447,0)</f>
        <v>1.7108105773936519</v>
      </c>
      <c r="N207" s="833">
        <f t="shared" si="14"/>
        <v>22836.069940319605</v>
      </c>
    </row>
    <row r="208" spans="3:17">
      <c r="C208" s="830" t="s">
        <v>821</v>
      </c>
      <c r="D208" s="831" t="s">
        <v>953</v>
      </c>
      <c r="E208" s="830" t="s">
        <v>948</v>
      </c>
      <c r="F208" s="832">
        <v>43862</v>
      </c>
      <c r="G208" s="832">
        <v>43892</v>
      </c>
      <c r="H208" s="832">
        <v>43892</v>
      </c>
      <c r="I208" s="833">
        <v>23480.95</v>
      </c>
      <c r="J208" s="833">
        <v>20616.310000000001</v>
      </c>
      <c r="K208" s="834" t="s">
        <v>705</v>
      </c>
      <c r="L208" s="810" t="str">
        <f t="shared" si="13"/>
        <v>3/2020</v>
      </c>
      <c r="M208" s="835">
        <f>_xlfn.XLOOKUP(L208,'Série Histórica IPCA'!$N$313:$N$447,'Série Histórica IPCA'!$J$313:$J$447,0)</f>
        <v>1.7108105773936519</v>
      </c>
      <c r="N208" s="833">
        <f t="shared" si="14"/>
        <v>13725.04373673691</v>
      </c>
    </row>
    <row r="209" spans="3:14">
      <c r="C209" s="830" t="s">
        <v>821</v>
      </c>
      <c r="D209" s="831">
        <v>317301</v>
      </c>
      <c r="E209" s="841" t="s">
        <v>954</v>
      </c>
      <c r="F209" s="837">
        <v>43862</v>
      </c>
      <c r="G209" s="832">
        <v>43892</v>
      </c>
      <c r="H209" s="832">
        <v>43892</v>
      </c>
      <c r="I209" s="833">
        <v>2338.02</v>
      </c>
      <c r="J209" s="833">
        <v>2050.9499999999998</v>
      </c>
      <c r="K209" s="834" t="s">
        <v>705</v>
      </c>
      <c r="L209" s="810" t="str">
        <f t="shared" si="13"/>
        <v>3/2020</v>
      </c>
      <c r="M209" s="835">
        <f>_xlfn.XLOOKUP(L209,'Série Histórica IPCA'!$N$313:$N$447,'Série Histórica IPCA'!$J$313:$J$447,0)</f>
        <v>1.7108105773936519</v>
      </c>
      <c r="N209" s="833">
        <f t="shared" si="14"/>
        <v>1366.6153523330884</v>
      </c>
    </row>
    <row r="210" spans="3:14">
      <c r="C210" s="830" t="s">
        <v>821</v>
      </c>
      <c r="D210" s="831">
        <v>317401</v>
      </c>
      <c r="E210" s="841" t="s">
        <v>955</v>
      </c>
      <c r="F210" s="837">
        <v>43862</v>
      </c>
      <c r="G210" s="837">
        <v>43892</v>
      </c>
      <c r="H210" s="832">
        <v>43892</v>
      </c>
      <c r="I210" s="833">
        <v>1405.21</v>
      </c>
      <c r="J210" s="833">
        <v>1233.78</v>
      </c>
      <c r="K210" s="834" t="s">
        <v>705</v>
      </c>
      <c r="L210" s="810" t="str">
        <f t="shared" si="13"/>
        <v>3/2020</v>
      </c>
      <c r="M210" s="835">
        <f>_xlfn.XLOOKUP(L210,'Série Histórica IPCA'!$N$313:$N$447,'Série Histórica IPCA'!$J$313:$J$447,0)</f>
        <v>1.7108105773936519</v>
      </c>
      <c r="N210" s="833">
        <f t="shared" si="14"/>
        <v>821.37088615665357</v>
      </c>
    </row>
    <row r="211" spans="3:14">
      <c r="C211" s="838" t="s">
        <v>821</v>
      </c>
      <c r="D211" s="826" t="s">
        <v>956</v>
      </c>
      <c r="E211" s="838" t="s">
        <v>957</v>
      </c>
      <c r="F211" s="827">
        <v>43888</v>
      </c>
      <c r="G211" s="839">
        <v>43900</v>
      </c>
      <c r="H211" s="839">
        <v>43900</v>
      </c>
      <c r="I211" s="828">
        <v>15981.6</v>
      </c>
      <c r="J211" s="828">
        <v>14103.75</v>
      </c>
      <c r="K211" s="829" t="s">
        <v>702</v>
      </c>
      <c r="L211" s="810" t="str">
        <f t="shared" si="13"/>
        <v>3/2020</v>
      </c>
      <c r="M211" s="835">
        <f>_xlfn.XLOOKUP(L211,'Série Histórica IPCA'!$N$313:$N$447,'Série Histórica IPCA'!$J$313:$J$447,0)</f>
        <v>1.7108105773936519</v>
      </c>
      <c r="N211" s="828">
        <f t="shared" si="14"/>
        <v>9341.5368195509382</v>
      </c>
    </row>
    <row r="212" spans="3:14">
      <c r="C212" s="838" t="s">
        <v>821</v>
      </c>
      <c r="D212" s="826">
        <v>992701</v>
      </c>
      <c r="E212" s="840" t="s">
        <v>958</v>
      </c>
      <c r="F212" s="839">
        <v>43888</v>
      </c>
      <c r="G212" s="839">
        <v>43900</v>
      </c>
      <c r="H212" s="827">
        <v>43900</v>
      </c>
      <c r="I212" s="828">
        <v>956.41</v>
      </c>
      <c r="J212" s="828">
        <v>844.03</v>
      </c>
      <c r="K212" s="825" t="s">
        <v>702</v>
      </c>
      <c r="L212" s="810" t="str">
        <f t="shared" si="13"/>
        <v>3/2020</v>
      </c>
      <c r="M212" s="835">
        <f>_xlfn.XLOOKUP(L212,'Série Histórica IPCA'!$N$313:$N$447,'Série Histórica IPCA'!$J$313:$J$447,0)</f>
        <v>1.7108105773936519</v>
      </c>
      <c r="N212" s="828">
        <f t="shared" si="14"/>
        <v>559.03909681050163</v>
      </c>
    </row>
    <row r="213" spans="3:14">
      <c r="C213" s="838" t="s">
        <v>821</v>
      </c>
      <c r="D213" s="826" t="s">
        <v>959</v>
      </c>
      <c r="E213" s="838" t="s">
        <v>957</v>
      </c>
      <c r="F213" s="827">
        <v>43888</v>
      </c>
      <c r="G213" s="827">
        <v>43900</v>
      </c>
      <c r="H213" s="827">
        <v>43900</v>
      </c>
      <c r="I213" s="828">
        <v>26590.58</v>
      </c>
      <c r="J213" s="828">
        <v>23399.71</v>
      </c>
      <c r="K213" s="829" t="s">
        <v>702</v>
      </c>
      <c r="L213" s="810" t="str">
        <f t="shared" si="13"/>
        <v>3/2020</v>
      </c>
      <c r="M213" s="835">
        <f>_xlfn.XLOOKUP(L213,'Série Histórica IPCA'!$N$313:$N$447,'Série Histórica IPCA'!$J$313:$J$447,0)</f>
        <v>1.7108105773936519</v>
      </c>
      <c r="N213" s="828">
        <f t="shared" si="14"/>
        <v>15542.679213796791</v>
      </c>
    </row>
    <row r="214" spans="3:14">
      <c r="C214" s="838" t="s">
        <v>821</v>
      </c>
      <c r="D214" s="826" t="s">
        <v>960</v>
      </c>
      <c r="E214" s="838" t="s">
        <v>961</v>
      </c>
      <c r="F214" s="827">
        <v>43888</v>
      </c>
      <c r="G214" s="827">
        <v>43900</v>
      </c>
      <c r="H214" s="827">
        <v>43900</v>
      </c>
      <c r="I214" s="828">
        <v>1591.3</v>
      </c>
      <c r="J214" s="828">
        <v>1400.35</v>
      </c>
      <c r="K214" s="829" t="s">
        <v>702</v>
      </c>
      <c r="L214" s="810" t="str">
        <f t="shared" si="13"/>
        <v>3/2020</v>
      </c>
      <c r="M214" s="835">
        <f>_xlfn.XLOOKUP(L214,'Série Histórica IPCA'!$N$313:$N$447,'Série Histórica IPCA'!$J$313:$J$447,0)</f>
        <v>1.7108105773936519</v>
      </c>
      <c r="N214" s="828">
        <f t="shared" si="14"/>
        <v>930.14388677925911</v>
      </c>
    </row>
    <row r="215" spans="3:14">
      <c r="C215" s="830" t="s">
        <v>821</v>
      </c>
      <c r="D215" s="831">
        <v>321801</v>
      </c>
      <c r="E215" s="830" t="s">
        <v>957</v>
      </c>
      <c r="F215" s="832">
        <v>43889</v>
      </c>
      <c r="G215" s="837">
        <v>43900</v>
      </c>
      <c r="H215" s="837">
        <v>43900</v>
      </c>
      <c r="I215" s="833">
        <v>17727.05</v>
      </c>
      <c r="J215" s="833">
        <v>15599.8</v>
      </c>
      <c r="K215" s="834" t="s">
        <v>705</v>
      </c>
      <c r="L215" s="810" t="str">
        <f t="shared" si="13"/>
        <v>3/2020</v>
      </c>
      <c r="M215" s="835">
        <f>_xlfn.XLOOKUP(L215,'Série Histórica IPCA'!$N$313:$N$447,'Série Histórica IPCA'!$J$313:$J$447,0)</f>
        <v>1.7108105773936519</v>
      </c>
      <c r="N215" s="833">
        <f t="shared" si="14"/>
        <v>10361.784194137035</v>
      </c>
    </row>
    <row r="216" spans="3:14">
      <c r="C216" s="830" t="s">
        <v>821</v>
      </c>
      <c r="D216" s="831">
        <v>321901</v>
      </c>
      <c r="E216" s="830" t="s">
        <v>957</v>
      </c>
      <c r="F216" s="832">
        <v>43889</v>
      </c>
      <c r="G216" s="837">
        <v>43900</v>
      </c>
      <c r="H216" s="837">
        <v>43900</v>
      </c>
      <c r="I216" s="833">
        <v>10654.41</v>
      </c>
      <c r="J216" s="833">
        <v>9402.5300000000007</v>
      </c>
      <c r="K216" s="834" t="s">
        <v>705</v>
      </c>
      <c r="L216" s="810" t="str">
        <f t="shared" si="13"/>
        <v>3/2020</v>
      </c>
      <c r="M216" s="835">
        <f>_xlfn.XLOOKUP(L216,'Série Histórica IPCA'!$N$313:$N$447,'Série Histórica IPCA'!$J$313:$J$447,0)</f>
        <v>1.7108105773936519</v>
      </c>
      <c r="N216" s="833">
        <f t="shared" si="14"/>
        <v>6227.6970582164313</v>
      </c>
    </row>
    <row r="217" spans="3:14">
      <c r="C217" s="830" t="s">
        <v>821</v>
      </c>
      <c r="D217" s="831">
        <v>322001</v>
      </c>
      <c r="E217" s="841" t="s">
        <v>962</v>
      </c>
      <c r="F217" s="837">
        <v>43889</v>
      </c>
      <c r="G217" s="837">
        <v>43900</v>
      </c>
      <c r="H217" s="832">
        <v>43900</v>
      </c>
      <c r="I217" s="833">
        <v>1060.8599999999999</v>
      </c>
      <c r="J217" s="833">
        <v>933.55</v>
      </c>
      <c r="K217" s="830" t="s">
        <v>705</v>
      </c>
      <c r="L217" s="810" t="str">
        <f t="shared" si="13"/>
        <v>3/2020</v>
      </c>
      <c r="M217" s="835">
        <f>_xlfn.XLOOKUP(L217,'Série Histórica IPCA'!$N$313:$N$447,'Série Histórica IPCA'!$J$313:$J$447,0)</f>
        <v>1.7108105773936519</v>
      </c>
      <c r="N217" s="833">
        <f t="shared" si="14"/>
        <v>620.09202773119137</v>
      </c>
    </row>
    <row r="218" spans="3:14">
      <c r="C218" s="830" t="s">
        <v>821</v>
      </c>
      <c r="D218" s="831">
        <v>322101</v>
      </c>
      <c r="E218" s="841" t="s">
        <v>963</v>
      </c>
      <c r="F218" s="837">
        <v>43889</v>
      </c>
      <c r="G218" s="837">
        <v>43900</v>
      </c>
      <c r="H218" s="832">
        <v>43900</v>
      </c>
      <c r="I218" s="833">
        <v>637.62</v>
      </c>
      <c r="J218" s="833">
        <v>562.70000000000005</v>
      </c>
      <c r="K218" s="830" t="s">
        <v>705</v>
      </c>
      <c r="L218" s="810" t="str">
        <f t="shared" si="13"/>
        <v>3/2020</v>
      </c>
      <c r="M218" s="835">
        <f>_xlfn.XLOOKUP(L218,'Série Histórica IPCA'!$N$313:$N$447,'Série Histórica IPCA'!$J$313:$J$447,0)</f>
        <v>1.7108105773936519</v>
      </c>
      <c r="N218" s="833">
        <f t="shared" si="14"/>
        <v>372.7005247836305</v>
      </c>
    </row>
    <row r="219" spans="3:14">
      <c r="C219" s="838" t="s">
        <v>821</v>
      </c>
      <c r="D219" s="826" t="s">
        <v>964</v>
      </c>
      <c r="E219" s="838" t="s">
        <v>965</v>
      </c>
      <c r="F219" s="827">
        <v>43895</v>
      </c>
      <c r="G219" s="827">
        <v>43914</v>
      </c>
      <c r="H219" s="827">
        <v>43914</v>
      </c>
      <c r="I219" s="828">
        <v>16223.7</v>
      </c>
      <c r="J219" s="828">
        <v>14317.43</v>
      </c>
      <c r="K219" s="829" t="s">
        <v>702</v>
      </c>
      <c r="L219" s="810" t="str">
        <f t="shared" si="13"/>
        <v>3/2020</v>
      </c>
      <c r="M219" s="835">
        <f>_xlfn.XLOOKUP(L219,'Série Histórica IPCA'!$N$313:$N$447,'Série Histórica IPCA'!$J$313:$J$447,0)</f>
        <v>1.7108105773936519</v>
      </c>
      <c r="N219" s="828">
        <f t="shared" si="14"/>
        <v>9483.0486871995654</v>
      </c>
    </row>
    <row r="220" spans="3:14">
      <c r="C220" s="838" t="s">
        <v>821</v>
      </c>
      <c r="D220" s="826" t="s">
        <v>966</v>
      </c>
      <c r="E220" s="838" t="s">
        <v>965</v>
      </c>
      <c r="F220" s="827">
        <v>43895</v>
      </c>
      <c r="G220" s="827">
        <v>43914</v>
      </c>
      <c r="H220" s="827">
        <v>43914</v>
      </c>
      <c r="I220" s="828">
        <v>970.91</v>
      </c>
      <c r="J220" s="828">
        <v>856.82</v>
      </c>
      <c r="K220" s="825" t="s">
        <v>702</v>
      </c>
      <c r="L220" s="810" t="str">
        <f t="shared" si="13"/>
        <v>3/2020</v>
      </c>
      <c r="M220" s="835">
        <f>_xlfn.XLOOKUP(L220,'Série Histórica IPCA'!$N$313:$N$447,'Série Histórica IPCA'!$J$313:$J$447,0)</f>
        <v>1.7108105773936519</v>
      </c>
      <c r="N220" s="828">
        <f t="shared" si="14"/>
        <v>567.51461139499179</v>
      </c>
    </row>
    <row r="221" spans="3:14">
      <c r="C221" s="838" t="s">
        <v>821</v>
      </c>
      <c r="D221" s="826" t="s">
        <v>967</v>
      </c>
      <c r="E221" s="838" t="s">
        <v>965</v>
      </c>
      <c r="F221" s="827">
        <v>43895</v>
      </c>
      <c r="G221" s="827">
        <v>43914</v>
      </c>
      <c r="H221" s="827">
        <v>43914</v>
      </c>
      <c r="I221" s="828">
        <v>26993.38</v>
      </c>
      <c r="J221" s="828">
        <v>23767.67</v>
      </c>
      <c r="K221" s="829" t="s">
        <v>702</v>
      </c>
      <c r="L221" s="810" t="str">
        <f t="shared" si="13"/>
        <v>3/2020</v>
      </c>
      <c r="M221" s="835">
        <f>_xlfn.XLOOKUP(L221,'Série Histórica IPCA'!$N$313:$N$447,'Série Histórica IPCA'!$J$313:$J$447,0)</f>
        <v>1.7108105773936519</v>
      </c>
      <c r="N221" s="828">
        <f t="shared" si="14"/>
        <v>15778.123163771457</v>
      </c>
    </row>
    <row r="222" spans="3:14">
      <c r="C222" s="838" t="s">
        <v>821</v>
      </c>
      <c r="D222" s="826" t="s">
        <v>968</v>
      </c>
      <c r="E222" s="838" t="s">
        <v>965</v>
      </c>
      <c r="F222" s="827">
        <v>43895</v>
      </c>
      <c r="G222" s="827">
        <v>43914</v>
      </c>
      <c r="H222" s="827">
        <v>43914</v>
      </c>
      <c r="I222" s="828">
        <v>1615.4</v>
      </c>
      <c r="J222" s="828">
        <v>1422.35</v>
      </c>
      <c r="K222" s="829" t="s">
        <v>702</v>
      </c>
      <c r="L222" s="810" t="str">
        <f t="shared" ref="L222:L285" si="15">MONTH(H222)&amp;"/"&amp;YEAR(H222)</f>
        <v>3/2020</v>
      </c>
      <c r="M222" s="835">
        <f>_xlfn.XLOOKUP(L222,'Série Histórica IPCA'!$N$313:$N$447,'Série Histórica IPCA'!$J$313:$J$447,0)</f>
        <v>1.7108105773936519</v>
      </c>
      <c r="N222" s="828">
        <f t="shared" ref="N222:N285" si="16">I222/M222</f>
        <v>944.23077653692917</v>
      </c>
    </row>
    <row r="223" spans="3:14">
      <c r="C223" s="830" t="s">
        <v>821</v>
      </c>
      <c r="D223" s="831">
        <v>324501</v>
      </c>
      <c r="E223" s="830" t="s">
        <v>965</v>
      </c>
      <c r="F223" s="832">
        <v>43895</v>
      </c>
      <c r="G223" s="832">
        <v>43914</v>
      </c>
      <c r="H223" s="832">
        <v>43914</v>
      </c>
      <c r="I223" s="833">
        <v>17995.599999999999</v>
      </c>
      <c r="J223" s="833">
        <v>15845.12</v>
      </c>
      <c r="K223" s="834" t="s">
        <v>705</v>
      </c>
      <c r="L223" s="810" t="str">
        <f t="shared" si="15"/>
        <v>3/2020</v>
      </c>
      <c r="M223" s="835">
        <f>_xlfn.XLOOKUP(L223,'Série Histórica IPCA'!$N$313:$N$447,'Série Histórica IPCA'!$J$313:$J$447,0)</f>
        <v>1.7108105773936519</v>
      </c>
      <c r="N223" s="833">
        <f t="shared" si="16"/>
        <v>10518.756569424266</v>
      </c>
    </row>
    <row r="224" spans="3:14">
      <c r="C224" s="830" t="s">
        <v>821</v>
      </c>
      <c r="D224" s="831">
        <v>324601</v>
      </c>
      <c r="E224" s="830" t="s">
        <v>965</v>
      </c>
      <c r="F224" s="832">
        <v>43895</v>
      </c>
      <c r="G224" s="832">
        <v>43914</v>
      </c>
      <c r="H224" s="832">
        <v>43914</v>
      </c>
      <c r="I224" s="833">
        <v>10815.8</v>
      </c>
      <c r="J224" s="833">
        <v>9544.9500000000007</v>
      </c>
      <c r="K224" s="834" t="s">
        <v>705</v>
      </c>
      <c r="L224" s="810" t="str">
        <f t="shared" si="15"/>
        <v>3/2020</v>
      </c>
      <c r="M224" s="835">
        <f>_xlfn.XLOOKUP(L224,'Série Histórica IPCA'!$N$313:$N$447,'Série Histórica IPCA'!$J$313:$J$447,0)</f>
        <v>1.7108105773936519</v>
      </c>
      <c r="N224" s="833">
        <f t="shared" si="16"/>
        <v>6322.0324581330424</v>
      </c>
    </row>
    <row r="225" spans="3:14">
      <c r="C225" s="830" t="s">
        <v>821</v>
      </c>
      <c r="D225" s="831">
        <v>324701</v>
      </c>
      <c r="E225" s="830" t="s">
        <v>965</v>
      </c>
      <c r="F225" s="832">
        <v>43895</v>
      </c>
      <c r="G225" s="832">
        <v>43914</v>
      </c>
      <c r="H225" s="832">
        <v>43914</v>
      </c>
      <c r="I225" s="833">
        <v>1076.93</v>
      </c>
      <c r="J225" s="833">
        <v>948.23</v>
      </c>
      <c r="K225" s="830" t="s">
        <v>705</v>
      </c>
      <c r="L225" s="810" t="str">
        <f t="shared" si="15"/>
        <v>3/2020</v>
      </c>
      <c r="M225" s="835">
        <f>_xlfn.XLOOKUP(L225,'Série Histórica IPCA'!$N$313:$N$447,'Série Histórica IPCA'!$J$313:$J$447,0)</f>
        <v>1.7108105773936519</v>
      </c>
      <c r="N225" s="833">
        <f t="shared" si="16"/>
        <v>629.48523596379539</v>
      </c>
    </row>
    <row r="226" spans="3:14">
      <c r="C226" s="830" t="s">
        <v>821</v>
      </c>
      <c r="D226" s="831">
        <v>324801</v>
      </c>
      <c r="E226" s="830" t="s">
        <v>965</v>
      </c>
      <c r="F226" s="832">
        <v>43895</v>
      </c>
      <c r="G226" s="832">
        <v>43914</v>
      </c>
      <c r="H226" s="832">
        <v>43914</v>
      </c>
      <c r="I226" s="833">
        <v>647.27</v>
      </c>
      <c r="J226" s="833">
        <v>571.21</v>
      </c>
      <c r="K226" s="830" t="s">
        <v>705</v>
      </c>
      <c r="L226" s="810" t="str">
        <f t="shared" si="15"/>
        <v>3/2020</v>
      </c>
      <c r="M226" s="835">
        <f>_xlfn.XLOOKUP(L226,'Série Histórica IPCA'!$N$313:$N$447,'Série Histórica IPCA'!$J$313:$J$447,0)</f>
        <v>1.7108105773936519</v>
      </c>
      <c r="N226" s="833">
        <f t="shared" si="16"/>
        <v>378.34112586917053</v>
      </c>
    </row>
    <row r="227" spans="3:14">
      <c r="C227" s="830" t="s">
        <v>821</v>
      </c>
      <c r="D227" s="831" t="s">
        <v>969</v>
      </c>
      <c r="E227" s="836" t="s">
        <v>970</v>
      </c>
      <c r="F227" s="837">
        <v>43903</v>
      </c>
      <c r="G227" s="837">
        <v>43937</v>
      </c>
      <c r="H227" s="837">
        <v>43937</v>
      </c>
      <c r="I227" s="833">
        <v>77000</v>
      </c>
      <c r="J227" s="833">
        <v>75344.5</v>
      </c>
      <c r="K227" s="834" t="s">
        <v>1449</v>
      </c>
      <c r="L227" s="810" t="str">
        <f t="shared" si="15"/>
        <v>4/2020</v>
      </c>
      <c r="M227" s="835">
        <f>_xlfn.XLOOKUP(L227,'Série Histórica IPCA'!$N$313:$N$447,'Série Histórica IPCA'!$J$313:$J$447,0)</f>
        <v>1.7055071666416104</v>
      </c>
      <c r="N227" s="833">
        <f t="shared" si="16"/>
        <v>45147.86071032707</v>
      </c>
    </row>
    <row r="228" spans="3:14">
      <c r="C228" s="830" t="s">
        <v>821</v>
      </c>
      <c r="D228" s="831" t="s">
        <v>971</v>
      </c>
      <c r="E228" s="836" t="s">
        <v>970</v>
      </c>
      <c r="F228" s="837">
        <v>43923</v>
      </c>
      <c r="G228" s="837">
        <v>43937</v>
      </c>
      <c r="H228" s="837">
        <v>43937</v>
      </c>
      <c r="I228" s="833">
        <v>80000</v>
      </c>
      <c r="J228" s="833">
        <v>78280</v>
      </c>
      <c r="K228" s="834" t="s">
        <v>1449</v>
      </c>
      <c r="L228" s="810" t="str">
        <f t="shared" si="15"/>
        <v>4/2020</v>
      </c>
      <c r="M228" s="835">
        <f>_xlfn.XLOOKUP(L228,'Série Histórica IPCA'!$N$313:$N$447,'Série Histórica IPCA'!$J$313:$J$447,0)</f>
        <v>1.7055071666416104</v>
      </c>
      <c r="N228" s="833">
        <f t="shared" si="16"/>
        <v>46906.868270469677</v>
      </c>
    </row>
    <row r="229" spans="3:14">
      <c r="C229" s="838" t="s">
        <v>854</v>
      </c>
      <c r="D229" s="810" t="s">
        <v>972</v>
      </c>
      <c r="E229" s="838" t="s">
        <v>973</v>
      </c>
      <c r="F229" s="827">
        <v>43929</v>
      </c>
      <c r="G229" s="827">
        <v>43950</v>
      </c>
      <c r="H229" s="827">
        <v>43950</v>
      </c>
      <c r="I229" s="828">
        <v>26590.58</v>
      </c>
      <c r="J229" s="828">
        <v>23524.12</v>
      </c>
      <c r="K229" s="829" t="s">
        <v>702</v>
      </c>
      <c r="L229" s="810" t="str">
        <f t="shared" si="15"/>
        <v>4/2020</v>
      </c>
      <c r="M229" s="835">
        <f>_xlfn.XLOOKUP(L229,'Série Histórica IPCA'!$N$313:$N$447,'Série Histórica IPCA'!$J$313:$J$447,0)</f>
        <v>1.7055071666416104</v>
      </c>
      <c r="N229" s="828">
        <f t="shared" si="16"/>
        <v>15591.010416192323</v>
      </c>
    </row>
    <row r="230" spans="3:14">
      <c r="C230" s="838" t="s">
        <v>854</v>
      </c>
      <c r="D230" s="810" t="s">
        <v>974</v>
      </c>
      <c r="E230" s="838" t="s">
        <v>973</v>
      </c>
      <c r="F230" s="827">
        <v>43929</v>
      </c>
      <c r="G230" s="827">
        <v>43950</v>
      </c>
      <c r="H230" s="827">
        <v>43950</v>
      </c>
      <c r="I230" s="828">
        <v>15981.6</v>
      </c>
      <c r="J230" s="828">
        <v>14199.66</v>
      </c>
      <c r="K230" s="829" t="s">
        <v>702</v>
      </c>
      <c r="L230" s="810" t="str">
        <f t="shared" si="15"/>
        <v>4/2020</v>
      </c>
      <c r="M230" s="835">
        <f>_xlfn.XLOOKUP(L230,'Série Histórica IPCA'!$N$313:$N$447,'Série Histórica IPCA'!$J$313:$J$447,0)</f>
        <v>1.7055071666416104</v>
      </c>
      <c r="N230" s="828">
        <f t="shared" si="16"/>
        <v>9370.585074391729</v>
      </c>
    </row>
    <row r="231" spans="3:14">
      <c r="C231" s="838" t="s">
        <v>854</v>
      </c>
      <c r="D231" s="810" t="s">
        <v>975</v>
      </c>
      <c r="E231" s="838" t="s">
        <v>973</v>
      </c>
      <c r="F231" s="827">
        <v>43929</v>
      </c>
      <c r="G231" s="827">
        <v>43950</v>
      </c>
      <c r="H231" s="827">
        <v>43950</v>
      </c>
      <c r="I231" s="828">
        <v>1591.3</v>
      </c>
      <c r="J231" s="828">
        <v>1413.86</v>
      </c>
      <c r="K231" s="829" t="s">
        <v>702</v>
      </c>
      <c r="L231" s="810" t="str">
        <f t="shared" si="15"/>
        <v>4/2020</v>
      </c>
      <c r="M231" s="835">
        <f>_xlfn.XLOOKUP(L231,'Série Histórica IPCA'!$N$313:$N$447,'Série Histórica IPCA'!$J$313:$J$447,0)</f>
        <v>1.7055071666416104</v>
      </c>
      <c r="N231" s="828">
        <f t="shared" si="16"/>
        <v>933.03624348497999</v>
      </c>
    </row>
    <row r="232" spans="3:14">
      <c r="C232" s="838" t="s">
        <v>854</v>
      </c>
      <c r="D232" s="810" t="s">
        <v>976</v>
      </c>
      <c r="E232" s="838" t="s">
        <v>977</v>
      </c>
      <c r="F232" s="827">
        <v>43929</v>
      </c>
      <c r="G232" s="827">
        <v>43950</v>
      </c>
      <c r="H232" s="827">
        <v>43950</v>
      </c>
      <c r="I232" s="828">
        <v>956.41</v>
      </c>
      <c r="J232" s="828">
        <v>849.77</v>
      </c>
      <c r="K232" s="825" t="s">
        <v>702</v>
      </c>
      <c r="L232" s="810" t="str">
        <f t="shared" si="15"/>
        <v>4/2020</v>
      </c>
      <c r="M232" s="835">
        <f>_xlfn.XLOOKUP(L232,'Série Histórica IPCA'!$N$313:$N$447,'Série Histórica IPCA'!$J$313:$J$447,0)</f>
        <v>1.7055071666416104</v>
      </c>
      <c r="N232" s="828">
        <f t="shared" si="16"/>
        <v>560.77747353199879</v>
      </c>
    </row>
    <row r="233" spans="3:14">
      <c r="C233" s="838" t="s">
        <v>854</v>
      </c>
      <c r="D233" s="810" t="s">
        <v>978</v>
      </c>
      <c r="E233" s="840" t="s">
        <v>979</v>
      </c>
      <c r="F233" s="839">
        <v>43929</v>
      </c>
      <c r="G233" s="827">
        <v>43950</v>
      </c>
      <c r="H233" s="827">
        <v>43950</v>
      </c>
      <c r="I233" s="828">
        <v>12299.35</v>
      </c>
      <c r="J233" s="828">
        <v>10606.68</v>
      </c>
      <c r="K233" s="829" t="s">
        <v>702</v>
      </c>
      <c r="L233" s="810" t="str">
        <f t="shared" si="15"/>
        <v>4/2020</v>
      </c>
      <c r="M233" s="835">
        <f>_xlfn.XLOOKUP(L233,'Série Histórica IPCA'!$N$313:$N$447,'Série Histórica IPCA'!$J$313:$J$447,0)</f>
        <v>1.7055071666416104</v>
      </c>
      <c r="N233" s="828">
        <f t="shared" si="16"/>
        <v>7211.5498782800159</v>
      </c>
    </row>
    <row r="234" spans="3:14">
      <c r="C234" s="838" t="s">
        <v>854</v>
      </c>
      <c r="D234" s="810" t="s">
        <v>980</v>
      </c>
      <c r="E234" s="838" t="s">
        <v>981</v>
      </c>
      <c r="F234" s="827">
        <v>43929</v>
      </c>
      <c r="G234" s="827">
        <v>43950</v>
      </c>
      <c r="H234" s="827">
        <v>43950</v>
      </c>
      <c r="I234" s="828">
        <v>20463.939999999999</v>
      </c>
      <c r="J234" s="828">
        <v>18182.21</v>
      </c>
      <c r="K234" s="829" t="s">
        <v>702</v>
      </c>
      <c r="L234" s="810" t="str">
        <f t="shared" si="15"/>
        <v>4/2020</v>
      </c>
      <c r="M234" s="835">
        <f>_xlfn.XLOOKUP(L234,'Série Histórica IPCA'!$N$313:$N$447,'Série Histórica IPCA'!$J$313:$J$447,0)</f>
        <v>1.7055071666416104</v>
      </c>
      <c r="N234" s="828">
        <f t="shared" si="16"/>
        <v>11998.741723434941</v>
      </c>
    </row>
    <row r="235" spans="3:14">
      <c r="C235" s="836" t="s">
        <v>854</v>
      </c>
      <c r="D235" s="842" t="s">
        <v>982</v>
      </c>
      <c r="E235" s="830" t="s">
        <v>973</v>
      </c>
      <c r="F235" s="832">
        <v>43929</v>
      </c>
      <c r="G235" s="832">
        <v>43950</v>
      </c>
      <c r="H235" s="832">
        <v>43950</v>
      </c>
      <c r="I235" s="833">
        <v>17727.05</v>
      </c>
      <c r="J235" s="833">
        <v>15682.72</v>
      </c>
      <c r="K235" s="834" t="s">
        <v>705</v>
      </c>
      <c r="L235" s="810" t="str">
        <f t="shared" si="15"/>
        <v>4/2020</v>
      </c>
      <c r="M235" s="835">
        <f>_xlfn.XLOOKUP(L235,'Série Histórica IPCA'!$N$313:$N$447,'Série Histórica IPCA'!$J$313:$J$447,0)</f>
        <v>1.7055071666416104</v>
      </c>
      <c r="N235" s="833">
        <f t="shared" si="16"/>
        <v>10394.004989675368</v>
      </c>
    </row>
    <row r="236" spans="3:14">
      <c r="C236" s="836" t="s">
        <v>854</v>
      </c>
      <c r="D236" s="842" t="s">
        <v>983</v>
      </c>
      <c r="E236" s="830" t="s">
        <v>973</v>
      </c>
      <c r="F236" s="832">
        <v>43929</v>
      </c>
      <c r="G236" s="832">
        <v>43950</v>
      </c>
      <c r="H236" s="832">
        <v>43950</v>
      </c>
      <c r="I236" s="833">
        <v>10654.41</v>
      </c>
      <c r="J236" s="833">
        <v>9466.44</v>
      </c>
      <c r="K236" s="834" t="s">
        <v>705</v>
      </c>
      <c r="L236" s="810" t="str">
        <f t="shared" si="15"/>
        <v>4/2020</v>
      </c>
      <c r="M236" s="835">
        <f>_xlfn.XLOOKUP(L236,'Série Histórica IPCA'!$N$313:$N$447,'Série Histórica IPCA'!$J$313:$J$447,0)</f>
        <v>1.7055071666416104</v>
      </c>
      <c r="N236" s="833">
        <f t="shared" si="16"/>
        <v>6247.0625796196855</v>
      </c>
    </row>
    <row r="237" spans="3:14">
      <c r="C237" s="836" t="s">
        <v>854</v>
      </c>
      <c r="D237" s="842" t="s">
        <v>984</v>
      </c>
      <c r="E237" s="830" t="s">
        <v>977</v>
      </c>
      <c r="F237" s="832">
        <v>43929</v>
      </c>
      <c r="G237" s="832">
        <v>43950</v>
      </c>
      <c r="H237" s="832">
        <v>43950</v>
      </c>
      <c r="I237" s="833">
        <v>1060.8599999999999</v>
      </c>
      <c r="J237" s="833">
        <v>942.58</v>
      </c>
      <c r="K237" s="830" t="s">
        <v>705</v>
      </c>
      <c r="L237" s="810" t="str">
        <f t="shared" si="15"/>
        <v>4/2020</v>
      </c>
      <c r="M237" s="835">
        <f>_xlfn.XLOOKUP(L237,'Série Histórica IPCA'!$N$313:$N$447,'Série Histórica IPCA'!$J$313:$J$447,0)</f>
        <v>1.7055071666416104</v>
      </c>
      <c r="N237" s="833">
        <f t="shared" si="16"/>
        <v>622.02025341763078</v>
      </c>
    </row>
    <row r="238" spans="3:14">
      <c r="C238" s="836" t="s">
        <v>854</v>
      </c>
      <c r="D238" s="842" t="s">
        <v>985</v>
      </c>
      <c r="E238" s="830" t="s">
        <v>977</v>
      </c>
      <c r="F238" s="832">
        <v>43929</v>
      </c>
      <c r="G238" s="832">
        <v>43950</v>
      </c>
      <c r="H238" s="832">
        <v>43950</v>
      </c>
      <c r="I238" s="833">
        <v>637.62</v>
      </c>
      <c r="J238" s="833">
        <v>566.53</v>
      </c>
      <c r="K238" s="830" t="s">
        <v>705</v>
      </c>
      <c r="L238" s="810" t="str">
        <f t="shared" si="15"/>
        <v>4/2020</v>
      </c>
      <c r="M238" s="835">
        <f>_xlfn.XLOOKUP(L238,'Série Histórica IPCA'!$N$313:$N$447,'Série Histórica IPCA'!$J$313:$J$447,0)</f>
        <v>1.7055071666416104</v>
      </c>
      <c r="N238" s="833">
        <f t="shared" si="16"/>
        <v>373.85946683271095</v>
      </c>
    </row>
    <row r="239" spans="3:14">
      <c r="C239" s="836" t="s">
        <v>854</v>
      </c>
      <c r="D239" s="842" t="s">
        <v>986</v>
      </c>
      <c r="E239" s="830" t="s">
        <v>981</v>
      </c>
      <c r="F239" s="832">
        <v>43929</v>
      </c>
      <c r="G239" s="832">
        <v>43950</v>
      </c>
      <c r="H239" s="832">
        <v>43950</v>
      </c>
      <c r="I239" s="833">
        <v>13642.63</v>
      </c>
      <c r="J239" s="833">
        <v>11907.29</v>
      </c>
      <c r="K239" s="834" t="s">
        <v>705</v>
      </c>
      <c r="L239" s="810" t="str">
        <f t="shared" si="15"/>
        <v>4/2020</v>
      </c>
      <c r="M239" s="835">
        <f>_xlfn.XLOOKUP(L239,'Série Histórica IPCA'!$N$313:$N$447,'Série Histórica IPCA'!$J$313:$J$447,0)</f>
        <v>1.7055071666416104</v>
      </c>
      <c r="N239" s="833">
        <f t="shared" si="16"/>
        <v>7999.1631034094717</v>
      </c>
    </row>
    <row r="240" spans="3:14">
      <c r="C240" s="836" t="s">
        <v>854</v>
      </c>
      <c r="D240" s="842" t="s">
        <v>987</v>
      </c>
      <c r="E240" s="830" t="s">
        <v>981</v>
      </c>
      <c r="F240" s="832">
        <v>43929</v>
      </c>
      <c r="G240" s="832">
        <v>43950</v>
      </c>
      <c r="H240" s="832">
        <v>43950</v>
      </c>
      <c r="I240" s="833">
        <v>8199.56</v>
      </c>
      <c r="J240" s="833">
        <v>7285.31</v>
      </c>
      <c r="K240" s="834" t="s">
        <v>705</v>
      </c>
      <c r="L240" s="810" t="str">
        <f t="shared" si="15"/>
        <v>4/2020</v>
      </c>
      <c r="M240" s="835">
        <f>_xlfn.XLOOKUP(L240,'Série Histórica IPCA'!$N$313:$N$447,'Série Histórica IPCA'!$J$313:$J$447,0)</f>
        <v>1.7055071666416104</v>
      </c>
      <c r="N240" s="833">
        <f t="shared" si="16"/>
        <v>4807.6960099476546</v>
      </c>
    </row>
    <row r="241" spans="3:14">
      <c r="C241" s="830" t="s">
        <v>821</v>
      </c>
      <c r="D241" s="831" t="s">
        <v>988</v>
      </c>
      <c r="E241" s="836" t="s">
        <v>989</v>
      </c>
      <c r="F241" s="837">
        <v>43971</v>
      </c>
      <c r="G241" s="837">
        <v>43978</v>
      </c>
      <c r="H241" s="837">
        <v>43978</v>
      </c>
      <c r="I241" s="833">
        <v>144537.16</v>
      </c>
      <c r="J241" s="833">
        <v>141429.60999999999</v>
      </c>
      <c r="K241" s="834" t="s">
        <v>1449</v>
      </c>
      <c r="L241" s="810" t="str">
        <f t="shared" si="15"/>
        <v>5/2020</v>
      </c>
      <c r="M241" s="835">
        <f>_xlfn.XLOOKUP(L241,'Série Histórica IPCA'!$N$313:$N$447,'Série Histórica IPCA'!$J$313:$J$447,0)</f>
        <v>1.6990266418022639</v>
      </c>
      <c r="N241" s="833">
        <f t="shared" si="16"/>
        <v>85070.567137593782</v>
      </c>
    </row>
    <row r="242" spans="3:14">
      <c r="C242" s="838" t="s">
        <v>854</v>
      </c>
      <c r="D242" s="810" t="s">
        <v>990</v>
      </c>
      <c r="E242" s="838" t="s">
        <v>991</v>
      </c>
      <c r="F242" s="827">
        <v>43965</v>
      </c>
      <c r="G242" s="839">
        <v>43979</v>
      </c>
      <c r="H242" s="839">
        <v>43979</v>
      </c>
      <c r="I242" s="828">
        <v>19862.810000000001</v>
      </c>
      <c r="J242" s="828">
        <v>17215.21</v>
      </c>
      <c r="K242" s="829" t="s">
        <v>702</v>
      </c>
      <c r="L242" s="810" t="str">
        <f t="shared" si="15"/>
        <v>5/2020</v>
      </c>
      <c r="M242" s="835">
        <f>_xlfn.XLOOKUP(L242,'Série Histórica IPCA'!$N$313:$N$447,'Série Histórica IPCA'!$J$313:$J$447,0)</f>
        <v>1.6990266418022639</v>
      </c>
      <c r="N242" s="828">
        <f t="shared" si="16"/>
        <v>11690.699551909483</v>
      </c>
    </row>
    <row r="243" spans="3:14">
      <c r="C243" s="838" t="s">
        <v>854</v>
      </c>
      <c r="D243" s="810" t="s">
        <v>992</v>
      </c>
      <c r="E243" s="838" t="s">
        <v>991</v>
      </c>
      <c r="F243" s="827">
        <v>43965</v>
      </c>
      <c r="G243" s="839">
        <v>43979</v>
      </c>
      <c r="H243" s="839">
        <v>43979</v>
      </c>
      <c r="I243" s="828">
        <v>33048.22</v>
      </c>
      <c r="J243" s="828">
        <v>29363.35</v>
      </c>
      <c r="K243" s="829" t="s">
        <v>702</v>
      </c>
      <c r="L243" s="810" t="str">
        <f t="shared" si="15"/>
        <v>5/2020</v>
      </c>
      <c r="M243" s="835">
        <f>_xlfn.XLOOKUP(L243,'Série Histórica IPCA'!$N$313:$N$447,'Série Histórica IPCA'!$J$313:$J$447,0)</f>
        <v>1.6990266418022639</v>
      </c>
      <c r="N243" s="828">
        <f t="shared" si="16"/>
        <v>19451.266499825855</v>
      </c>
    </row>
    <row r="244" spans="3:14">
      <c r="C244" s="838" t="s">
        <v>854</v>
      </c>
      <c r="D244" s="810" t="s">
        <v>993</v>
      </c>
      <c r="E244" s="840" t="s">
        <v>994</v>
      </c>
      <c r="F244" s="839">
        <v>43965</v>
      </c>
      <c r="G244" s="839">
        <v>43979</v>
      </c>
      <c r="H244" s="839">
        <v>43979</v>
      </c>
      <c r="I244" s="828">
        <v>4252.76</v>
      </c>
      <c r="J244" s="828">
        <v>3778.58</v>
      </c>
      <c r="K244" s="829" t="s">
        <v>702</v>
      </c>
      <c r="L244" s="810" t="str">
        <f t="shared" si="15"/>
        <v>5/2020</v>
      </c>
      <c r="M244" s="835">
        <f>_xlfn.XLOOKUP(L244,'Série Histórica IPCA'!$N$313:$N$447,'Série Histórica IPCA'!$J$313:$J$447,0)</f>
        <v>1.6990266418022639</v>
      </c>
      <c r="N244" s="828">
        <f t="shared" si="16"/>
        <v>2503.0566886748943</v>
      </c>
    </row>
    <row r="245" spans="3:14">
      <c r="C245" s="838" t="s">
        <v>854</v>
      </c>
      <c r="D245" s="810" t="s">
        <v>995</v>
      </c>
      <c r="E245" s="840" t="s">
        <v>994</v>
      </c>
      <c r="F245" s="839">
        <v>43965</v>
      </c>
      <c r="G245" s="839">
        <v>43979</v>
      </c>
      <c r="H245" s="839">
        <v>43979</v>
      </c>
      <c r="I245" s="828">
        <v>2556.0300000000002</v>
      </c>
      <c r="J245" s="828">
        <v>2271.0300000000002</v>
      </c>
      <c r="K245" s="829" t="s">
        <v>702</v>
      </c>
      <c r="L245" s="810" t="str">
        <f t="shared" si="15"/>
        <v>5/2020</v>
      </c>
      <c r="M245" s="835">
        <f>_xlfn.XLOOKUP(L245,'Série Histórica IPCA'!$N$313:$N$447,'Série Histórica IPCA'!$J$313:$J$447,0)</f>
        <v>1.6990266418022639</v>
      </c>
      <c r="N245" s="828">
        <f t="shared" si="16"/>
        <v>1504.4084283979557</v>
      </c>
    </row>
    <row r="246" spans="3:14">
      <c r="C246" s="836" t="s">
        <v>854</v>
      </c>
      <c r="D246" s="842" t="s">
        <v>996</v>
      </c>
      <c r="E246" s="830" t="s">
        <v>991</v>
      </c>
      <c r="F246" s="832">
        <v>43965</v>
      </c>
      <c r="G246" s="832">
        <v>43979</v>
      </c>
      <c r="H246" s="832">
        <v>43979</v>
      </c>
      <c r="I246" s="833">
        <v>22032.15</v>
      </c>
      <c r="J246" s="833">
        <v>19286.96</v>
      </c>
      <c r="K246" s="834" t="s">
        <v>705</v>
      </c>
      <c r="L246" s="810" t="str">
        <f t="shared" si="15"/>
        <v>5/2020</v>
      </c>
      <c r="M246" s="835">
        <f>_xlfn.XLOOKUP(L246,'Série Histórica IPCA'!$N$313:$N$447,'Série Histórica IPCA'!$J$313:$J$447,0)</f>
        <v>1.6990266418022639</v>
      </c>
      <c r="N246" s="833">
        <f t="shared" si="16"/>
        <v>12967.512961791535</v>
      </c>
    </row>
    <row r="247" spans="3:14">
      <c r="C247" s="836" t="s">
        <v>854</v>
      </c>
      <c r="D247" s="842" t="s">
        <v>997</v>
      </c>
      <c r="E247" s="830" t="s">
        <v>991</v>
      </c>
      <c r="F247" s="832">
        <v>43965</v>
      </c>
      <c r="G247" s="832">
        <v>43979</v>
      </c>
      <c r="H247" s="832">
        <v>43979</v>
      </c>
      <c r="I247" s="833">
        <v>13241.87</v>
      </c>
      <c r="J247" s="833">
        <v>11765.4</v>
      </c>
      <c r="K247" s="834" t="s">
        <v>705</v>
      </c>
      <c r="L247" s="810" t="str">
        <f t="shared" si="15"/>
        <v>5/2020</v>
      </c>
      <c r="M247" s="835">
        <f>_xlfn.XLOOKUP(L247,'Série Histórica IPCA'!$N$313:$N$447,'Série Histórica IPCA'!$J$313:$J$447,0)</f>
        <v>1.6990266418022639</v>
      </c>
      <c r="N247" s="833">
        <f t="shared" si="16"/>
        <v>7793.7977393653582</v>
      </c>
    </row>
    <row r="248" spans="3:14">
      <c r="C248" s="836" t="s">
        <v>854</v>
      </c>
      <c r="D248" s="842" t="s">
        <v>998</v>
      </c>
      <c r="E248" s="841" t="s">
        <v>999</v>
      </c>
      <c r="F248" s="837">
        <v>43965</v>
      </c>
      <c r="G248" s="832">
        <v>43979</v>
      </c>
      <c r="H248" s="832">
        <v>43979</v>
      </c>
      <c r="I248" s="833">
        <v>2835.17</v>
      </c>
      <c r="J248" s="833">
        <v>2519.04</v>
      </c>
      <c r="K248" s="834" t="s">
        <v>705</v>
      </c>
      <c r="L248" s="810" t="str">
        <f t="shared" si="15"/>
        <v>5/2020</v>
      </c>
      <c r="M248" s="835">
        <f>_xlfn.XLOOKUP(L248,'Série Histórica IPCA'!$N$313:$N$447,'Série Histórica IPCA'!$J$313:$J$447,0)</f>
        <v>1.6990266418022639</v>
      </c>
      <c r="N248" s="833">
        <f t="shared" si="16"/>
        <v>1668.7024972089653</v>
      </c>
    </row>
    <row r="249" spans="3:14">
      <c r="C249" s="836" t="s">
        <v>854</v>
      </c>
      <c r="D249" s="842" t="s">
        <v>1000</v>
      </c>
      <c r="E249" s="841" t="s">
        <v>1001</v>
      </c>
      <c r="F249" s="837">
        <v>43965</v>
      </c>
      <c r="G249" s="837">
        <v>43979</v>
      </c>
      <c r="H249" s="837">
        <v>43979</v>
      </c>
      <c r="I249" s="833">
        <v>1704.02</v>
      </c>
      <c r="J249" s="833">
        <v>1514.02</v>
      </c>
      <c r="K249" s="834" t="s">
        <v>705</v>
      </c>
      <c r="L249" s="810" t="str">
        <f t="shared" si="15"/>
        <v>5/2020</v>
      </c>
      <c r="M249" s="835">
        <f>_xlfn.XLOOKUP(L249,'Série Histórica IPCA'!$N$313:$N$447,'Série Histórica IPCA'!$J$313:$J$447,0)</f>
        <v>1.6990266418022639</v>
      </c>
      <c r="N249" s="833">
        <f t="shared" si="16"/>
        <v>1002.9389522653037</v>
      </c>
    </row>
    <row r="250" spans="3:14">
      <c r="C250" s="838" t="s">
        <v>854</v>
      </c>
      <c r="D250" s="810" t="s">
        <v>1002</v>
      </c>
      <c r="E250" s="838" t="s">
        <v>1003</v>
      </c>
      <c r="F250" s="827">
        <v>43992</v>
      </c>
      <c r="G250" s="827">
        <v>44012</v>
      </c>
      <c r="H250" s="827">
        <v>44012</v>
      </c>
      <c r="I250" s="828">
        <v>33451.03</v>
      </c>
      <c r="J250" s="828">
        <v>29283.02</v>
      </c>
      <c r="K250" s="829" t="s">
        <v>702</v>
      </c>
      <c r="L250" s="810" t="str">
        <f t="shared" si="15"/>
        <v>6/2020</v>
      </c>
      <c r="M250" s="835">
        <f>_xlfn.XLOOKUP(L250,'Série Histórica IPCA'!$N$313:$N$447,'Série Histórica IPCA'!$J$313:$J$447,0)</f>
        <v>1.7034440183092421</v>
      </c>
      <c r="N250" s="828">
        <f t="shared" si="16"/>
        <v>19637.293412907053</v>
      </c>
    </row>
    <row r="251" spans="3:14">
      <c r="C251" s="838" t="s">
        <v>854</v>
      </c>
      <c r="D251" s="810" t="s">
        <v>1004</v>
      </c>
      <c r="E251" s="838" t="s">
        <v>1003</v>
      </c>
      <c r="F251" s="827">
        <v>43992</v>
      </c>
      <c r="G251" s="827">
        <v>44012</v>
      </c>
      <c r="H251" s="827">
        <v>44012</v>
      </c>
      <c r="I251" s="828">
        <v>20104.900000000001</v>
      </c>
      <c r="J251" s="828">
        <v>17863.2</v>
      </c>
      <c r="K251" s="829" t="s">
        <v>702</v>
      </c>
      <c r="L251" s="810" t="str">
        <f t="shared" si="15"/>
        <v>6/2020</v>
      </c>
      <c r="M251" s="835">
        <f>_xlfn.XLOOKUP(L251,'Série Histórica IPCA'!$N$313:$N$447,'Série Histórica IPCA'!$J$313:$J$447,0)</f>
        <v>1.7034440183092421</v>
      </c>
      <c r="N251" s="828">
        <f t="shared" si="16"/>
        <v>11802.501158773139</v>
      </c>
    </row>
    <row r="252" spans="3:14">
      <c r="C252" s="838" t="s">
        <v>854</v>
      </c>
      <c r="D252" s="810" t="s">
        <v>1005</v>
      </c>
      <c r="E252" s="838" t="s">
        <v>1006</v>
      </c>
      <c r="F252" s="827">
        <v>43992</v>
      </c>
      <c r="G252" s="839">
        <v>44012</v>
      </c>
      <c r="H252" s="839">
        <v>44012</v>
      </c>
      <c r="I252" s="828">
        <v>4304.6000000000004</v>
      </c>
      <c r="J252" s="828">
        <v>3824.64</v>
      </c>
      <c r="K252" s="829" t="s">
        <v>702</v>
      </c>
      <c r="L252" s="810" t="str">
        <f t="shared" si="15"/>
        <v>6/2020</v>
      </c>
      <c r="M252" s="835">
        <f>_xlfn.XLOOKUP(L252,'Série Histórica IPCA'!$N$313:$N$447,'Série Histórica IPCA'!$J$313:$J$447,0)</f>
        <v>1.7034440183092421</v>
      </c>
      <c r="N252" s="828">
        <f t="shared" si="16"/>
        <v>2526.9982187454229</v>
      </c>
    </row>
    <row r="253" spans="3:14">
      <c r="C253" s="838" t="s">
        <v>854</v>
      </c>
      <c r="D253" s="810" t="s">
        <v>1007</v>
      </c>
      <c r="E253" s="838" t="s">
        <v>1006</v>
      </c>
      <c r="F253" s="827">
        <v>43992</v>
      </c>
      <c r="G253" s="839">
        <v>44012</v>
      </c>
      <c r="H253" s="839">
        <v>44012</v>
      </c>
      <c r="I253" s="828">
        <v>2587.1799999999998</v>
      </c>
      <c r="J253" s="828">
        <v>2298.71</v>
      </c>
      <c r="K253" s="829" t="s">
        <v>702</v>
      </c>
      <c r="L253" s="810" t="str">
        <f t="shared" si="15"/>
        <v>6/2020</v>
      </c>
      <c r="M253" s="835">
        <f>_xlfn.XLOOKUP(L253,'Série Histórica IPCA'!$N$313:$N$447,'Série Histórica IPCA'!$J$313:$J$447,0)</f>
        <v>1.7034440183092421</v>
      </c>
      <c r="N253" s="828">
        <f t="shared" si="16"/>
        <v>1518.7936745745906</v>
      </c>
    </row>
    <row r="254" spans="3:14">
      <c r="C254" s="836" t="s">
        <v>854</v>
      </c>
      <c r="D254" s="842" t="s">
        <v>1008</v>
      </c>
      <c r="E254" s="830" t="s">
        <v>1003</v>
      </c>
      <c r="F254" s="837">
        <v>43993</v>
      </c>
      <c r="G254" s="832">
        <v>44012</v>
      </c>
      <c r="H254" s="832">
        <v>44012</v>
      </c>
      <c r="I254" s="833">
        <v>22300.69</v>
      </c>
      <c r="J254" s="833">
        <v>19522.04</v>
      </c>
      <c r="K254" s="834" t="s">
        <v>705</v>
      </c>
      <c r="L254" s="810" t="str">
        <f t="shared" si="15"/>
        <v>6/2020</v>
      </c>
      <c r="M254" s="835">
        <f>_xlfn.XLOOKUP(L254,'Série Histórica IPCA'!$N$313:$N$447,'Série Histórica IPCA'!$J$313:$J$447,0)</f>
        <v>1.7034440183092421</v>
      </c>
      <c r="N254" s="833">
        <f t="shared" si="16"/>
        <v>13091.530898758039</v>
      </c>
    </row>
    <row r="255" spans="3:14">
      <c r="C255" s="836" t="s">
        <v>854</v>
      </c>
      <c r="D255" s="842" t="s">
        <v>1009</v>
      </c>
      <c r="E255" s="830" t="s">
        <v>1003</v>
      </c>
      <c r="F255" s="837">
        <v>43993</v>
      </c>
      <c r="G255" s="832">
        <v>44012</v>
      </c>
      <c r="H255" s="832">
        <v>44012</v>
      </c>
      <c r="I255" s="833">
        <v>13403.27</v>
      </c>
      <c r="J255" s="833">
        <v>11908.81</v>
      </c>
      <c r="K255" s="834" t="s">
        <v>705</v>
      </c>
      <c r="L255" s="810" t="str">
        <f t="shared" si="15"/>
        <v>6/2020</v>
      </c>
      <c r="M255" s="835">
        <f>_xlfn.XLOOKUP(L255,'Série Histórica IPCA'!$N$313:$N$447,'Série Histórica IPCA'!$J$313:$J$447,0)</f>
        <v>1.7034440183092421</v>
      </c>
      <c r="N255" s="833">
        <f t="shared" si="16"/>
        <v>7868.3360626687645</v>
      </c>
    </row>
    <row r="256" spans="3:14">
      <c r="C256" s="836" t="s">
        <v>854</v>
      </c>
      <c r="D256" s="842" t="s">
        <v>1010</v>
      </c>
      <c r="E256" s="830" t="s">
        <v>1006</v>
      </c>
      <c r="F256" s="832">
        <v>43993</v>
      </c>
      <c r="G256" s="837">
        <v>44012</v>
      </c>
      <c r="H256" s="837">
        <v>44012</v>
      </c>
      <c r="I256" s="833">
        <v>2869.73</v>
      </c>
      <c r="J256" s="833">
        <v>2549.75</v>
      </c>
      <c r="K256" s="834" t="s">
        <v>705</v>
      </c>
      <c r="L256" s="810" t="str">
        <f t="shared" si="15"/>
        <v>6/2020</v>
      </c>
      <c r="M256" s="835">
        <f>_xlfn.XLOOKUP(L256,'Série Histórica IPCA'!$N$313:$N$447,'Série Histórica IPCA'!$J$313:$J$447,0)</f>
        <v>1.7034440183092421</v>
      </c>
      <c r="N256" s="833">
        <f t="shared" si="16"/>
        <v>1684.6635223436097</v>
      </c>
    </row>
    <row r="257" spans="3:14">
      <c r="C257" s="836" t="s">
        <v>854</v>
      </c>
      <c r="D257" s="842" t="s">
        <v>1011</v>
      </c>
      <c r="E257" s="830" t="s">
        <v>1006</v>
      </c>
      <c r="F257" s="832">
        <v>43993</v>
      </c>
      <c r="G257" s="837">
        <v>44012</v>
      </c>
      <c r="H257" s="837">
        <v>44012</v>
      </c>
      <c r="I257" s="833">
        <v>1724.79</v>
      </c>
      <c r="J257" s="833">
        <v>1532.48</v>
      </c>
      <c r="K257" s="834" t="s">
        <v>705</v>
      </c>
      <c r="L257" s="810" t="str">
        <f t="shared" si="15"/>
        <v>6/2020</v>
      </c>
      <c r="M257" s="835">
        <f>_xlfn.XLOOKUP(L257,'Série Histórica IPCA'!$N$313:$N$447,'Série Histórica IPCA'!$J$313:$J$447,0)</f>
        <v>1.7034440183092421</v>
      </c>
      <c r="N257" s="833">
        <f t="shared" si="16"/>
        <v>1012.5310732030659</v>
      </c>
    </row>
    <row r="258" spans="3:14">
      <c r="C258" s="838" t="s">
        <v>854</v>
      </c>
      <c r="D258" s="810" t="s">
        <v>1012</v>
      </c>
      <c r="E258" s="838" t="s">
        <v>1013</v>
      </c>
      <c r="F258" s="827">
        <v>44020</v>
      </c>
      <c r="G258" s="827">
        <v>44034</v>
      </c>
      <c r="H258" s="827">
        <v>44034</v>
      </c>
      <c r="I258" s="828">
        <v>4252.76</v>
      </c>
      <c r="J258" s="828">
        <v>3345.67</v>
      </c>
      <c r="K258" s="829" t="s">
        <v>702</v>
      </c>
      <c r="L258" s="810" t="str">
        <f t="shared" si="15"/>
        <v>7/2020</v>
      </c>
      <c r="M258" s="835">
        <f>_xlfn.XLOOKUP(L258,'Série Histórica IPCA'!$N$313:$N$447,'Série Histórica IPCA'!$J$313:$J$447,0)</f>
        <v>1.709575887073816</v>
      </c>
      <c r="N258" s="828">
        <f t="shared" si="16"/>
        <v>2487.6111275055523</v>
      </c>
    </row>
    <row r="259" spans="3:14">
      <c r="C259" s="838" t="s">
        <v>854</v>
      </c>
      <c r="D259" s="810" t="s">
        <v>1014</v>
      </c>
      <c r="E259" s="838" t="s">
        <v>1015</v>
      </c>
      <c r="F259" s="827">
        <v>44020</v>
      </c>
      <c r="G259" s="839">
        <v>44034</v>
      </c>
      <c r="H259" s="839">
        <v>44034</v>
      </c>
      <c r="I259" s="828">
        <v>19862.810000000001</v>
      </c>
      <c r="J259" s="828">
        <v>17648.11</v>
      </c>
      <c r="K259" s="829" t="s">
        <v>702</v>
      </c>
      <c r="L259" s="810" t="str">
        <f t="shared" si="15"/>
        <v>7/2020</v>
      </c>
      <c r="M259" s="835">
        <f>_xlfn.XLOOKUP(L259,'Série Histórica IPCA'!$N$313:$N$447,'Série Histórica IPCA'!$J$313:$J$447,0)</f>
        <v>1.709575887073816</v>
      </c>
      <c r="N259" s="828">
        <f t="shared" si="16"/>
        <v>11618.559989166697</v>
      </c>
    </row>
    <row r="260" spans="3:14">
      <c r="C260" s="838" t="s">
        <v>854</v>
      </c>
      <c r="D260" s="810" t="s">
        <v>1016</v>
      </c>
      <c r="E260" s="838" t="s">
        <v>1013</v>
      </c>
      <c r="F260" s="827">
        <v>44020</v>
      </c>
      <c r="G260" s="839">
        <v>44034</v>
      </c>
      <c r="H260" s="839">
        <v>44034</v>
      </c>
      <c r="I260" s="828">
        <v>2556.0300000000002</v>
      </c>
      <c r="J260" s="828">
        <v>2271.0300000000002</v>
      </c>
      <c r="K260" s="829" t="s">
        <v>702</v>
      </c>
      <c r="L260" s="810" t="str">
        <f t="shared" si="15"/>
        <v>7/2020</v>
      </c>
      <c r="M260" s="835">
        <f>_xlfn.XLOOKUP(L260,'Série Histórica IPCA'!$N$313:$N$447,'Série Histórica IPCA'!$J$313:$J$447,0)</f>
        <v>1.709575887073816</v>
      </c>
      <c r="N260" s="828">
        <f t="shared" si="16"/>
        <v>1495.125205804705</v>
      </c>
    </row>
    <row r="261" spans="3:14">
      <c r="C261" s="838" t="s">
        <v>854</v>
      </c>
      <c r="D261" s="810" t="s">
        <v>1017</v>
      </c>
      <c r="E261" s="838" t="s">
        <v>1015</v>
      </c>
      <c r="F261" s="827">
        <v>44020</v>
      </c>
      <c r="G261" s="839">
        <v>44034</v>
      </c>
      <c r="H261" s="839">
        <v>44034</v>
      </c>
      <c r="I261" s="828">
        <v>33048.22</v>
      </c>
      <c r="J261" s="828">
        <v>29363.35</v>
      </c>
      <c r="K261" s="829" t="s">
        <v>702</v>
      </c>
      <c r="L261" s="810" t="str">
        <f t="shared" si="15"/>
        <v>7/2020</v>
      </c>
      <c r="M261" s="835">
        <f>_xlfn.XLOOKUP(L261,'Série Histórica IPCA'!$N$313:$N$447,'Série Histórica IPCA'!$J$313:$J$447,0)</f>
        <v>1.709575887073816</v>
      </c>
      <c r="N261" s="828">
        <f t="shared" si="16"/>
        <v>19331.238963932021</v>
      </c>
    </row>
    <row r="262" spans="3:14">
      <c r="C262" s="836" t="s">
        <v>854</v>
      </c>
      <c r="D262" s="842" t="s">
        <v>1018</v>
      </c>
      <c r="E262" s="830" t="s">
        <v>1015</v>
      </c>
      <c r="F262" s="832">
        <v>44020</v>
      </c>
      <c r="G262" s="832">
        <v>44034</v>
      </c>
      <c r="H262" s="832">
        <v>44034</v>
      </c>
      <c r="I262" s="833">
        <v>22032.15</v>
      </c>
      <c r="J262" s="833">
        <v>19286.96</v>
      </c>
      <c r="K262" s="834" t="s">
        <v>705</v>
      </c>
      <c r="L262" s="810" t="str">
        <f t="shared" si="15"/>
        <v>7/2020</v>
      </c>
      <c r="M262" s="835">
        <f>_xlfn.XLOOKUP(L262,'Série Histórica IPCA'!$N$313:$N$447,'Série Histórica IPCA'!$J$313:$J$447,0)</f>
        <v>1.709575887073816</v>
      </c>
      <c r="N262" s="833">
        <f t="shared" si="16"/>
        <v>12887.494592422674</v>
      </c>
    </row>
    <row r="263" spans="3:14">
      <c r="C263" s="836" t="s">
        <v>854</v>
      </c>
      <c r="D263" s="842" t="s">
        <v>1019</v>
      </c>
      <c r="E263" s="830" t="s">
        <v>1015</v>
      </c>
      <c r="F263" s="832">
        <v>44020</v>
      </c>
      <c r="G263" s="837">
        <v>44034</v>
      </c>
      <c r="H263" s="837">
        <v>44034</v>
      </c>
      <c r="I263" s="833">
        <v>13241.87</v>
      </c>
      <c r="J263" s="833">
        <v>11765.4</v>
      </c>
      <c r="K263" s="834" t="s">
        <v>705</v>
      </c>
      <c r="L263" s="810" t="str">
        <f t="shared" si="15"/>
        <v>7/2020</v>
      </c>
      <c r="M263" s="835">
        <f>_xlfn.XLOOKUP(L263,'Série Histórica IPCA'!$N$313:$N$447,'Série Histórica IPCA'!$J$313:$J$447,0)</f>
        <v>1.709575887073816</v>
      </c>
      <c r="N263" s="833">
        <f t="shared" si="16"/>
        <v>7745.704709643137</v>
      </c>
    </row>
    <row r="264" spans="3:14">
      <c r="C264" s="836" t="s">
        <v>854</v>
      </c>
      <c r="D264" s="842" t="s">
        <v>1020</v>
      </c>
      <c r="E264" s="830" t="s">
        <v>1013</v>
      </c>
      <c r="F264" s="832">
        <v>44020</v>
      </c>
      <c r="G264" s="832">
        <v>44034</v>
      </c>
      <c r="H264" s="832">
        <v>44034</v>
      </c>
      <c r="I264" s="833">
        <v>2835.17</v>
      </c>
      <c r="J264" s="833">
        <v>2519.04</v>
      </c>
      <c r="K264" s="834" t="s">
        <v>705</v>
      </c>
      <c r="L264" s="810" t="str">
        <f t="shared" si="15"/>
        <v>7/2020</v>
      </c>
      <c r="M264" s="835">
        <f>_xlfn.XLOOKUP(L264,'Série Histórica IPCA'!$N$313:$N$447,'Série Histórica IPCA'!$J$313:$J$447,0)</f>
        <v>1.709575887073816</v>
      </c>
      <c r="N264" s="833">
        <f t="shared" si="16"/>
        <v>1658.4054685357078</v>
      </c>
    </row>
    <row r="265" spans="3:14">
      <c r="C265" s="836" t="s">
        <v>854</v>
      </c>
      <c r="D265" s="842" t="s">
        <v>1021</v>
      </c>
      <c r="E265" s="830" t="s">
        <v>1013</v>
      </c>
      <c r="F265" s="832">
        <v>44020</v>
      </c>
      <c r="G265" s="832">
        <v>44034</v>
      </c>
      <c r="H265" s="832">
        <v>44034</v>
      </c>
      <c r="I265" s="833">
        <v>1704.02</v>
      </c>
      <c r="J265" s="833">
        <v>1514.02</v>
      </c>
      <c r="K265" s="834" t="s">
        <v>705</v>
      </c>
      <c r="L265" s="810" t="str">
        <f t="shared" si="15"/>
        <v>7/2020</v>
      </c>
      <c r="M265" s="835">
        <f>_xlfn.XLOOKUP(L265,'Série Histórica IPCA'!$N$313:$N$447,'Série Histórica IPCA'!$J$313:$J$447,0)</f>
        <v>1.709575887073816</v>
      </c>
      <c r="N265" s="833">
        <f t="shared" si="16"/>
        <v>996.75013720313655</v>
      </c>
    </row>
    <row r="266" spans="3:14">
      <c r="C266" s="830" t="s">
        <v>821</v>
      </c>
      <c r="D266" s="831" t="s">
        <v>1022</v>
      </c>
      <c r="E266" s="836" t="s">
        <v>1023</v>
      </c>
      <c r="F266" s="837">
        <v>44027</v>
      </c>
      <c r="G266" s="837">
        <v>44034</v>
      </c>
      <c r="H266" s="837">
        <v>44034</v>
      </c>
      <c r="I266" s="833">
        <v>67634.45</v>
      </c>
      <c r="J266" s="833">
        <v>66180.31</v>
      </c>
      <c r="K266" s="834" t="s">
        <v>1449</v>
      </c>
      <c r="L266" s="810" t="str">
        <f t="shared" si="15"/>
        <v>7/2020</v>
      </c>
      <c r="M266" s="835">
        <f>_xlfn.XLOOKUP(L266,'Série Histórica IPCA'!$N$313:$N$447,'Série Histórica IPCA'!$J$313:$J$447,0)</f>
        <v>1.709575887073816</v>
      </c>
      <c r="N266" s="833">
        <f t="shared" si="16"/>
        <v>39562.122109575401</v>
      </c>
    </row>
    <row r="267" spans="3:14">
      <c r="C267" s="838" t="s">
        <v>854</v>
      </c>
      <c r="D267" s="810" t="s">
        <v>1024</v>
      </c>
      <c r="E267" s="838" t="s">
        <v>1025</v>
      </c>
      <c r="F267" s="827">
        <v>44068</v>
      </c>
      <c r="G267" s="839">
        <v>44084</v>
      </c>
      <c r="H267" s="839">
        <v>44084</v>
      </c>
      <c r="I267" s="828">
        <v>59705.01</v>
      </c>
      <c r="J267" s="828">
        <v>52130.84</v>
      </c>
      <c r="K267" s="829" t="s">
        <v>702</v>
      </c>
      <c r="L267" s="810" t="str">
        <f t="shared" si="15"/>
        <v>9/2020</v>
      </c>
      <c r="M267" s="835">
        <f>_xlfn.XLOOKUP(L267,'Série Histórica IPCA'!$N$313:$N$447,'Série Histórica IPCA'!$J$313:$J$447,0)</f>
        <v>1.7246473436565386</v>
      </c>
      <c r="N267" s="828">
        <f t="shared" si="16"/>
        <v>34618.677389091892</v>
      </c>
    </row>
    <row r="268" spans="3:14">
      <c r="C268" s="838" t="s">
        <v>854</v>
      </c>
      <c r="D268" s="810" t="s">
        <v>1026</v>
      </c>
      <c r="E268" s="840" t="s">
        <v>1027</v>
      </c>
      <c r="F268" s="839">
        <v>44068</v>
      </c>
      <c r="G268" s="827">
        <v>44084</v>
      </c>
      <c r="H268" s="827">
        <v>44084</v>
      </c>
      <c r="I268" s="828">
        <v>7683.06</v>
      </c>
      <c r="J268" s="828">
        <v>6826.4</v>
      </c>
      <c r="K268" s="829" t="s">
        <v>702</v>
      </c>
      <c r="L268" s="810" t="str">
        <f t="shared" si="15"/>
        <v>9/2020</v>
      </c>
      <c r="M268" s="835">
        <f>_xlfn.XLOOKUP(L268,'Série Histórica IPCA'!$N$313:$N$447,'Série Histórica IPCA'!$J$313:$J$447,0)</f>
        <v>1.7246473436565386</v>
      </c>
      <c r="N268" s="828">
        <f t="shared" si="16"/>
        <v>4454.8585705125306</v>
      </c>
    </row>
    <row r="269" spans="3:14">
      <c r="C269" s="838" t="s">
        <v>854</v>
      </c>
      <c r="D269" s="810" t="s">
        <v>1028</v>
      </c>
      <c r="E269" s="838" t="s">
        <v>1025</v>
      </c>
      <c r="F269" s="827">
        <v>44068</v>
      </c>
      <c r="G269" s="827">
        <v>44084</v>
      </c>
      <c r="H269" s="827">
        <v>44084</v>
      </c>
      <c r="I269" s="828">
        <v>35884.19</v>
      </c>
      <c r="J269" s="828">
        <v>31883.11</v>
      </c>
      <c r="K269" s="829" t="s">
        <v>702</v>
      </c>
      <c r="L269" s="810" t="str">
        <f t="shared" si="15"/>
        <v>9/2020</v>
      </c>
      <c r="M269" s="835">
        <f>_xlfn.XLOOKUP(L269,'Série Histórica IPCA'!$N$313:$N$447,'Série Histórica IPCA'!$J$313:$J$447,0)</f>
        <v>1.7246473436565386</v>
      </c>
      <c r="N269" s="828">
        <f t="shared" si="16"/>
        <v>20806.682671669889</v>
      </c>
    </row>
    <row r="270" spans="3:14">
      <c r="C270" s="838" t="s">
        <v>854</v>
      </c>
      <c r="D270" s="810" t="s">
        <v>1029</v>
      </c>
      <c r="E270" s="840" t="s">
        <v>1027</v>
      </c>
      <c r="F270" s="839">
        <v>44068</v>
      </c>
      <c r="G270" s="839">
        <v>44084</v>
      </c>
      <c r="H270" s="839">
        <v>44084</v>
      </c>
      <c r="I270" s="828">
        <v>4617.72</v>
      </c>
      <c r="J270" s="828">
        <v>4102.84</v>
      </c>
      <c r="K270" s="829" t="s">
        <v>702</v>
      </c>
      <c r="L270" s="810" t="str">
        <f t="shared" si="15"/>
        <v>9/2020</v>
      </c>
      <c r="M270" s="835">
        <f>_xlfn.XLOOKUP(L270,'Série Histórica IPCA'!$N$313:$N$447,'Série Histórica IPCA'!$J$313:$J$447,0)</f>
        <v>1.7246473436565386</v>
      </c>
      <c r="N270" s="828">
        <f t="shared" si="16"/>
        <v>2677.4865116538363</v>
      </c>
    </row>
    <row r="271" spans="3:14">
      <c r="C271" s="836" t="s">
        <v>854</v>
      </c>
      <c r="D271" s="842" t="s">
        <v>1030</v>
      </c>
      <c r="E271" s="830" t="s">
        <v>1025</v>
      </c>
      <c r="F271" s="832">
        <v>44067</v>
      </c>
      <c r="G271" s="837">
        <v>44084</v>
      </c>
      <c r="H271" s="837">
        <v>44084</v>
      </c>
      <c r="I271" s="833">
        <v>39803.339999999997</v>
      </c>
      <c r="J271" s="833">
        <v>34753.879999999997</v>
      </c>
      <c r="K271" s="834" t="s">
        <v>705</v>
      </c>
      <c r="L271" s="810" t="str">
        <f t="shared" si="15"/>
        <v>9/2020</v>
      </c>
      <c r="M271" s="835">
        <f>_xlfn.XLOOKUP(L271,'Série Histórica IPCA'!$N$313:$N$447,'Série Histórica IPCA'!$J$313:$J$447,0)</f>
        <v>1.7246473436565386</v>
      </c>
      <c r="N271" s="833">
        <f t="shared" si="16"/>
        <v>23079.118259394589</v>
      </c>
    </row>
    <row r="272" spans="3:14">
      <c r="C272" s="836" t="s">
        <v>854</v>
      </c>
      <c r="D272" s="842" t="s">
        <v>1031</v>
      </c>
      <c r="E272" s="830" t="s">
        <v>1025</v>
      </c>
      <c r="F272" s="832">
        <v>44067</v>
      </c>
      <c r="G272" s="837">
        <v>44084</v>
      </c>
      <c r="H272" s="837">
        <v>44084</v>
      </c>
      <c r="I272" s="833">
        <v>23922.799999999999</v>
      </c>
      <c r="J272" s="833">
        <v>21255.41</v>
      </c>
      <c r="K272" s="834" t="s">
        <v>705</v>
      </c>
      <c r="L272" s="810" t="str">
        <f t="shared" si="15"/>
        <v>9/2020</v>
      </c>
      <c r="M272" s="835">
        <f>_xlfn.XLOOKUP(L272,'Série Histórica IPCA'!$N$313:$N$447,'Série Histórica IPCA'!$J$313:$J$447,0)</f>
        <v>1.7246473436565386</v>
      </c>
      <c r="N272" s="833">
        <f t="shared" si="16"/>
        <v>13871.125646637818</v>
      </c>
    </row>
    <row r="273" spans="3:14">
      <c r="C273" s="836" t="s">
        <v>854</v>
      </c>
      <c r="D273" s="842" t="s">
        <v>1032</v>
      </c>
      <c r="E273" s="841" t="s">
        <v>1033</v>
      </c>
      <c r="F273" s="837">
        <v>44067</v>
      </c>
      <c r="G273" s="837">
        <v>44084</v>
      </c>
      <c r="H273" s="837">
        <v>44084</v>
      </c>
      <c r="I273" s="833">
        <v>5122.04</v>
      </c>
      <c r="J273" s="833">
        <v>4550.9399999999996</v>
      </c>
      <c r="K273" s="834" t="s">
        <v>705</v>
      </c>
      <c r="L273" s="810" t="str">
        <f t="shared" si="15"/>
        <v>9/2020</v>
      </c>
      <c r="M273" s="835">
        <f>_xlfn.XLOOKUP(L273,'Série Histórica IPCA'!$N$313:$N$447,'Série Histórica IPCA'!$J$313:$J$447,0)</f>
        <v>1.7246473436565386</v>
      </c>
      <c r="N273" s="833">
        <f t="shared" si="16"/>
        <v>2969.9057136750203</v>
      </c>
    </row>
    <row r="274" spans="3:14">
      <c r="C274" s="836" t="s">
        <v>854</v>
      </c>
      <c r="D274" s="842" t="s">
        <v>1034</v>
      </c>
      <c r="E274" s="841" t="s">
        <v>1027</v>
      </c>
      <c r="F274" s="837">
        <v>44067</v>
      </c>
      <c r="G274" s="837">
        <v>44084</v>
      </c>
      <c r="H274" s="837">
        <v>44084</v>
      </c>
      <c r="I274" s="833">
        <v>3078.48</v>
      </c>
      <c r="J274" s="833">
        <v>2735.23</v>
      </c>
      <c r="K274" s="834" t="s">
        <v>705</v>
      </c>
      <c r="L274" s="810" t="str">
        <f t="shared" si="15"/>
        <v>9/2020</v>
      </c>
      <c r="M274" s="835">
        <f>_xlfn.XLOOKUP(L274,'Série Histórica IPCA'!$N$313:$N$447,'Série Histórica IPCA'!$J$313:$J$447,0)</f>
        <v>1.7246473436565386</v>
      </c>
      <c r="N274" s="833">
        <f t="shared" si="16"/>
        <v>1784.9910077692241</v>
      </c>
    </row>
    <row r="275" spans="3:14">
      <c r="C275" s="838" t="s">
        <v>854</v>
      </c>
      <c r="D275" s="810" t="s">
        <v>1035</v>
      </c>
      <c r="E275" s="838" t="s">
        <v>1036</v>
      </c>
      <c r="F275" s="827">
        <v>44090</v>
      </c>
      <c r="G275" s="827">
        <v>44104</v>
      </c>
      <c r="H275" s="827">
        <v>44104</v>
      </c>
      <c r="I275" s="828">
        <v>33451.03</v>
      </c>
      <c r="J275" s="828">
        <v>29294.39</v>
      </c>
      <c r="K275" s="829" t="s">
        <v>702</v>
      </c>
      <c r="L275" s="810" t="str">
        <f t="shared" si="15"/>
        <v>9/2020</v>
      </c>
      <c r="M275" s="835">
        <f>_xlfn.XLOOKUP(L275,'Série Histórica IPCA'!$N$313:$N$447,'Série Histórica IPCA'!$J$313:$J$447,0)</f>
        <v>1.7246473436565386</v>
      </c>
      <c r="N275" s="828">
        <f t="shared" si="16"/>
        <v>19395.866710395567</v>
      </c>
    </row>
    <row r="276" spans="3:14">
      <c r="C276" s="838" t="s">
        <v>854</v>
      </c>
      <c r="D276" s="810" t="s">
        <v>1037</v>
      </c>
      <c r="E276" s="838" t="s">
        <v>1036</v>
      </c>
      <c r="F276" s="827">
        <v>44090</v>
      </c>
      <c r="G276" s="827">
        <v>44104</v>
      </c>
      <c r="H276" s="827">
        <v>44104</v>
      </c>
      <c r="I276" s="828">
        <v>20104.900000000001</v>
      </c>
      <c r="J276" s="828">
        <v>17863.2</v>
      </c>
      <c r="K276" s="829" t="s">
        <v>702</v>
      </c>
      <c r="L276" s="810" t="str">
        <f t="shared" si="15"/>
        <v>9/2020</v>
      </c>
      <c r="M276" s="835">
        <f>_xlfn.XLOOKUP(L276,'Série Histórica IPCA'!$N$313:$N$447,'Série Histórica IPCA'!$J$313:$J$447,0)</f>
        <v>1.7246473436565386</v>
      </c>
      <c r="N276" s="828">
        <f t="shared" si="16"/>
        <v>11657.397713189455</v>
      </c>
    </row>
    <row r="277" spans="3:14">
      <c r="C277" s="838" t="s">
        <v>854</v>
      </c>
      <c r="D277" s="810" t="s">
        <v>1038</v>
      </c>
      <c r="E277" s="838" t="s">
        <v>1036</v>
      </c>
      <c r="F277" s="827">
        <v>44090</v>
      </c>
      <c r="G277" s="827">
        <v>44104</v>
      </c>
      <c r="H277" s="827">
        <v>44104</v>
      </c>
      <c r="I277" s="828">
        <v>2587.1799999999998</v>
      </c>
      <c r="J277" s="828">
        <v>2298.71</v>
      </c>
      <c r="K277" s="829" t="s">
        <v>702</v>
      </c>
      <c r="L277" s="810" t="str">
        <f t="shared" si="15"/>
        <v>9/2020</v>
      </c>
      <c r="M277" s="835">
        <f>_xlfn.XLOOKUP(L277,'Série Histórica IPCA'!$N$313:$N$447,'Série Histórica IPCA'!$J$313:$J$447,0)</f>
        <v>1.7246473436565386</v>
      </c>
      <c r="N277" s="828">
        <f t="shared" si="16"/>
        <v>1500.1211752164643</v>
      </c>
    </row>
    <row r="278" spans="3:14">
      <c r="C278" s="838" t="s">
        <v>854</v>
      </c>
      <c r="D278" s="810" t="s">
        <v>1039</v>
      </c>
      <c r="E278" s="838" t="s">
        <v>1036</v>
      </c>
      <c r="F278" s="827">
        <v>44090</v>
      </c>
      <c r="G278" s="827">
        <v>44104</v>
      </c>
      <c r="H278" s="827">
        <v>44104</v>
      </c>
      <c r="I278" s="828">
        <v>4304.6000000000004</v>
      </c>
      <c r="J278" s="828">
        <v>3824.64</v>
      </c>
      <c r="K278" s="829" t="s">
        <v>702</v>
      </c>
      <c r="L278" s="810" t="str">
        <f t="shared" si="15"/>
        <v>9/2020</v>
      </c>
      <c r="M278" s="835">
        <f>_xlfn.XLOOKUP(L278,'Série Histórica IPCA'!$N$313:$N$447,'Série Histórica IPCA'!$J$313:$J$447,0)</f>
        <v>1.7246473436565386</v>
      </c>
      <c r="N278" s="828">
        <f t="shared" si="16"/>
        <v>2495.9305540537543</v>
      </c>
    </row>
    <row r="279" spans="3:14">
      <c r="C279" s="836" t="s">
        <v>854</v>
      </c>
      <c r="D279" s="842" t="s">
        <v>1040</v>
      </c>
      <c r="E279" s="830" t="s">
        <v>1036</v>
      </c>
      <c r="F279" s="832">
        <v>44090</v>
      </c>
      <c r="G279" s="837">
        <v>44104</v>
      </c>
      <c r="H279" s="837">
        <v>44104</v>
      </c>
      <c r="I279" s="833">
        <v>22300.69</v>
      </c>
      <c r="J279" s="833">
        <v>19559.599999999999</v>
      </c>
      <c r="K279" s="834" t="s">
        <v>705</v>
      </c>
      <c r="L279" s="810" t="str">
        <f t="shared" si="15"/>
        <v>9/2020</v>
      </c>
      <c r="M279" s="835">
        <f>_xlfn.XLOOKUP(L279,'Série Histórica IPCA'!$N$313:$N$447,'Série Histórica IPCA'!$J$313:$J$447,0)</f>
        <v>1.7246473436565386</v>
      </c>
      <c r="N279" s="833">
        <f t="shared" si="16"/>
        <v>12930.579739692657</v>
      </c>
    </row>
    <row r="280" spans="3:14">
      <c r="C280" s="836" t="s">
        <v>854</v>
      </c>
      <c r="D280" s="842" t="s">
        <v>1041</v>
      </c>
      <c r="E280" s="830" t="s">
        <v>1036</v>
      </c>
      <c r="F280" s="832">
        <v>44090</v>
      </c>
      <c r="G280" s="837">
        <v>44104</v>
      </c>
      <c r="H280" s="837">
        <v>44104</v>
      </c>
      <c r="I280" s="833">
        <v>13403.27</v>
      </c>
      <c r="J280" s="833">
        <v>11908.81</v>
      </c>
      <c r="K280" s="834" t="s">
        <v>705</v>
      </c>
      <c r="L280" s="810" t="str">
        <f t="shared" si="15"/>
        <v>9/2020</v>
      </c>
      <c r="M280" s="835">
        <f>_xlfn.XLOOKUP(L280,'Série Histórica IPCA'!$N$313:$N$447,'Série Histórica IPCA'!$J$313:$J$447,0)</f>
        <v>1.7246473436565386</v>
      </c>
      <c r="N280" s="833">
        <f t="shared" si="16"/>
        <v>7771.600408221917</v>
      </c>
    </row>
    <row r="281" spans="3:14">
      <c r="C281" s="836" t="s">
        <v>854</v>
      </c>
      <c r="D281" s="842" t="s">
        <v>1042</v>
      </c>
      <c r="E281" s="841" t="s">
        <v>1043</v>
      </c>
      <c r="F281" s="837">
        <v>44090</v>
      </c>
      <c r="G281" s="837">
        <v>44104</v>
      </c>
      <c r="H281" s="837">
        <v>44104</v>
      </c>
      <c r="I281" s="833">
        <v>2869.73</v>
      </c>
      <c r="J281" s="833">
        <v>2549.75</v>
      </c>
      <c r="K281" s="834" t="s">
        <v>705</v>
      </c>
      <c r="L281" s="810" t="str">
        <f t="shared" si="15"/>
        <v>9/2020</v>
      </c>
      <c r="M281" s="835">
        <f>_xlfn.XLOOKUP(L281,'Série Histórica IPCA'!$N$313:$N$447,'Série Histórica IPCA'!$J$313:$J$447,0)</f>
        <v>1.7246473436565386</v>
      </c>
      <c r="N281" s="833">
        <f t="shared" si="16"/>
        <v>1663.9517699402222</v>
      </c>
    </row>
    <row r="282" spans="3:14">
      <c r="C282" s="836" t="s">
        <v>854</v>
      </c>
      <c r="D282" s="842" t="s">
        <v>1044</v>
      </c>
      <c r="E282" s="841" t="s">
        <v>1045</v>
      </c>
      <c r="F282" s="837">
        <v>44090</v>
      </c>
      <c r="G282" s="837">
        <v>44104</v>
      </c>
      <c r="H282" s="837">
        <v>44104</v>
      </c>
      <c r="I282" s="833">
        <v>1724.79</v>
      </c>
      <c r="J282" s="833">
        <v>1532.48</v>
      </c>
      <c r="K282" s="834" t="s">
        <v>705</v>
      </c>
      <c r="L282" s="810" t="str">
        <f t="shared" si="15"/>
        <v>9/2020</v>
      </c>
      <c r="M282" s="835">
        <f>_xlfn.XLOOKUP(L282,'Série Histórica IPCA'!$N$313:$N$447,'Série Histórica IPCA'!$J$313:$J$447,0)</f>
        <v>1.7246473436565386</v>
      </c>
      <c r="N282" s="833">
        <f t="shared" si="16"/>
        <v>1000.0827162399236</v>
      </c>
    </row>
    <row r="283" spans="3:14">
      <c r="C283" s="830" t="s">
        <v>821</v>
      </c>
      <c r="D283" s="831" t="s">
        <v>1046</v>
      </c>
      <c r="E283" s="830" t="s">
        <v>1047</v>
      </c>
      <c r="F283" s="837">
        <v>44113</v>
      </c>
      <c r="G283" s="837">
        <v>44126</v>
      </c>
      <c r="H283" s="837">
        <v>44126</v>
      </c>
      <c r="I283" s="833">
        <v>40104.18</v>
      </c>
      <c r="J283" s="833">
        <v>39241.94</v>
      </c>
      <c r="K283" s="834" t="s">
        <v>1449</v>
      </c>
      <c r="L283" s="810" t="str">
        <f t="shared" si="15"/>
        <v>10/2020</v>
      </c>
      <c r="M283" s="835">
        <f>_xlfn.XLOOKUP(L283,'Série Histórica IPCA'!$N$313:$N$447,'Série Histórica IPCA'!$J$313:$J$447,0)</f>
        <v>1.739479310811985</v>
      </c>
      <c r="N283" s="833">
        <f t="shared" si="16"/>
        <v>23055.278525433831</v>
      </c>
    </row>
    <row r="284" spans="3:14">
      <c r="C284" s="838" t="s">
        <v>854</v>
      </c>
      <c r="D284" s="810" t="s">
        <v>1048</v>
      </c>
      <c r="E284" s="838" t="s">
        <v>1049</v>
      </c>
      <c r="F284" s="827">
        <v>44123</v>
      </c>
      <c r="G284" s="827">
        <v>44134</v>
      </c>
      <c r="H284" s="827">
        <v>44134</v>
      </c>
      <c r="I284" s="828">
        <v>33048.22</v>
      </c>
      <c r="J284" s="828">
        <v>28941.65</v>
      </c>
      <c r="K284" s="829" t="s">
        <v>702</v>
      </c>
      <c r="L284" s="810" t="str">
        <f t="shared" si="15"/>
        <v>10/2020</v>
      </c>
      <c r="M284" s="835">
        <f>_xlfn.XLOOKUP(L284,'Série Histórica IPCA'!$N$313:$N$447,'Série Histórica IPCA'!$J$313:$J$447,0)</f>
        <v>1.739479310811985</v>
      </c>
      <c r="N284" s="828">
        <f t="shared" si="16"/>
        <v>18998.91524698455</v>
      </c>
    </row>
    <row r="285" spans="3:14">
      <c r="C285" s="838" t="s">
        <v>854</v>
      </c>
      <c r="D285" s="810" t="s">
        <v>1050</v>
      </c>
      <c r="E285" s="838" t="s">
        <v>1049</v>
      </c>
      <c r="F285" s="827">
        <v>44123</v>
      </c>
      <c r="G285" s="827">
        <v>44134</v>
      </c>
      <c r="H285" s="827">
        <v>44134</v>
      </c>
      <c r="I285" s="828">
        <v>19862.810000000001</v>
      </c>
      <c r="J285" s="828">
        <v>17648.11</v>
      </c>
      <c r="K285" s="829" t="s">
        <v>702</v>
      </c>
      <c r="L285" s="810" t="str">
        <f t="shared" si="15"/>
        <v>10/2020</v>
      </c>
      <c r="M285" s="835">
        <f>_xlfn.XLOOKUP(L285,'Série Histórica IPCA'!$N$313:$N$447,'Série Histórica IPCA'!$J$313:$J$447,0)</f>
        <v>1.739479310811985</v>
      </c>
      <c r="N285" s="828">
        <f t="shared" si="16"/>
        <v>11418.825091244164</v>
      </c>
    </row>
    <row r="286" spans="3:14">
      <c r="C286" s="838" t="s">
        <v>854</v>
      </c>
      <c r="D286" s="810" t="s">
        <v>1051</v>
      </c>
      <c r="E286" s="838" t="s">
        <v>1049</v>
      </c>
      <c r="F286" s="827">
        <v>44123</v>
      </c>
      <c r="G286" s="827">
        <v>44134</v>
      </c>
      <c r="H286" s="827">
        <v>44134</v>
      </c>
      <c r="I286" s="828">
        <v>4252.76</v>
      </c>
      <c r="J286" s="828">
        <v>3778.58</v>
      </c>
      <c r="K286" s="829" t="s">
        <v>702</v>
      </c>
      <c r="L286" s="810" t="str">
        <f t="shared" ref="L286:L349" si="17">MONTH(H286)&amp;"/"&amp;YEAR(H286)</f>
        <v>10/2020</v>
      </c>
      <c r="M286" s="835">
        <f>_xlfn.XLOOKUP(L286,'Série Histórica IPCA'!$N$313:$N$447,'Série Histórica IPCA'!$J$313:$J$447,0)</f>
        <v>1.739479310811985</v>
      </c>
      <c r="N286" s="828">
        <f t="shared" ref="N286:N349" si="18">I286/M286</f>
        <v>2444.8465546938996</v>
      </c>
    </row>
    <row r="287" spans="3:14">
      <c r="C287" s="838" t="s">
        <v>854</v>
      </c>
      <c r="D287" s="810" t="s">
        <v>1052</v>
      </c>
      <c r="E287" s="838" t="s">
        <v>1049</v>
      </c>
      <c r="F287" s="827">
        <v>44123</v>
      </c>
      <c r="G287" s="827">
        <v>44134</v>
      </c>
      <c r="H287" s="827">
        <v>44134</v>
      </c>
      <c r="I287" s="828">
        <v>2556.0300000000002</v>
      </c>
      <c r="J287" s="828">
        <v>2271.0300000000002</v>
      </c>
      <c r="K287" s="829" t="s">
        <v>702</v>
      </c>
      <c r="L287" s="810" t="str">
        <f t="shared" si="17"/>
        <v>10/2020</v>
      </c>
      <c r="M287" s="835">
        <f>_xlfn.XLOOKUP(L287,'Série Histórica IPCA'!$N$313:$N$447,'Série Histórica IPCA'!$J$313:$J$447,0)</f>
        <v>1.739479310811985</v>
      </c>
      <c r="N287" s="828">
        <f t="shared" si="18"/>
        <v>1469.4224783891516</v>
      </c>
    </row>
    <row r="288" spans="3:14">
      <c r="C288" s="836" t="s">
        <v>854</v>
      </c>
      <c r="D288" s="842" t="s">
        <v>1053</v>
      </c>
      <c r="E288" s="830" t="s">
        <v>1049</v>
      </c>
      <c r="F288" s="832">
        <v>44120</v>
      </c>
      <c r="G288" s="832">
        <v>44134</v>
      </c>
      <c r="H288" s="832">
        <v>44134</v>
      </c>
      <c r="I288" s="833">
        <v>22032.15</v>
      </c>
      <c r="J288" s="833">
        <v>19294.43</v>
      </c>
      <c r="K288" s="834" t="s">
        <v>705</v>
      </c>
      <c r="L288" s="810" t="str">
        <f t="shared" si="17"/>
        <v>10/2020</v>
      </c>
      <c r="M288" s="835">
        <f>_xlfn.XLOOKUP(L288,'Série Histórica IPCA'!$N$313:$N$447,'Série Histórica IPCA'!$J$313:$J$447,0)</f>
        <v>1.739479310811985</v>
      </c>
      <c r="N288" s="833">
        <f t="shared" si="18"/>
        <v>12665.945414271955</v>
      </c>
    </row>
    <row r="289" spans="3:14">
      <c r="C289" s="836" t="s">
        <v>854</v>
      </c>
      <c r="D289" s="842" t="s">
        <v>1054</v>
      </c>
      <c r="E289" s="830" t="s">
        <v>1049</v>
      </c>
      <c r="F289" s="832">
        <v>44120</v>
      </c>
      <c r="G289" s="832">
        <v>44134</v>
      </c>
      <c r="H289" s="832">
        <v>44134</v>
      </c>
      <c r="I289" s="833">
        <v>13241.87</v>
      </c>
      <c r="J289" s="833">
        <v>11765.4</v>
      </c>
      <c r="K289" s="834" t="s">
        <v>705</v>
      </c>
      <c r="L289" s="810" t="str">
        <f t="shared" si="17"/>
        <v>10/2020</v>
      </c>
      <c r="M289" s="835">
        <f>_xlfn.XLOOKUP(L289,'Série Histórica IPCA'!$N$313:$N$447,'Série Histórica IPCA'!$J$313:$J$447,0)</f>
        <v>1.739479310811985</v>
      </c>
      <c r="N289" s="833">
        <f t="shared" si="18"/>
        <v>7612.5481445471896</v>
      </c>
    </row>
    <row r="290" spans="3:14">
      <c r="C290" s="836" t="s">
        <v>854</v>
      </c>
      <c r="D290" s="842" t="s">
        <v>1055</v>
      </c>
      <c r="E290" s="830" t="s">
        <v>1049</v>
      </c>
      <c r="F290" s="832">
        <v>44120</v>
      </c>
      <c r="G290" s="832">
        <v>44134</v>
      </c>
      <c r="H290" s="832">
        <v>44134</v>
      </c>
      <c r="I290" s="833">
        <v>2835.17</v>
      </c>
      <c r="J290" s="833">
        <v>2519.04</v>
      </c>
      <c r="K290" s="834" t="s">
        <v>705</v>
      </c>
      <c r="L290" s="810" t="str">
        <f t="shared" si="17"/>
        <v>10/2020</v>
      </c>
      <c r="M290" s="835">
        <f>_xlfn.XLOOKUP(L290,'Série Histórica IPCA'!$N$313:$N$447,'Série Histórica IPCA'!$J$313:$J$447,0)</f>
        <v>1.739479310811985</v>
      </c>
      <c r="N290" s="833">
        <f t="shared" si="18"/>
        <v>1629.8957868470129</v>
      </c>
    </row>
    <row r="291" spans="3:14">
      <c r="C291" s="836" t="s">
        <v>854</v>
      </c>
      <c r="D291" s="842" t="s">
        <v>1056</v>
      </c>
      <c r="E291" s="830" t="s">
        <v>1049</v>
      </c>
      <c r="F291" s="832">
        <v>44120</v>
      </c>
      <c r="G291" s="832">
        <v>44134</v>
      </c>
      <c r="H291" s="832">
        <v>44134</v>
      </c>
      <c r="I291" s="833">
        <v>1704.02</v>
      </c>
      <c r="J291" s="833">
        <v>1514.02</v>
      </c>
      <c r="K291" s="834" t="s">
        <v>705</v>
      </c>
      <c r="L291" s="810" t="str">
        <f t="shared" si="17"/>
        <v>10/2020</v>
      </c>
      <c r="M291" s="835">
        <f>_xlfn.XLOOKUP(L291,'Série Histórica IPCA'!$N$313:$N$447,'Série Histórica IPCA'!$J$313:$J$447,0)</f>
        <v>1.739479310811985</v>
      </c>
      <c r="N291" s="833">
        <f t="shared" si="18"/>
        <v>979.61498559276754</v>
      </c>
    </row>
    <row r="292" spans="3:14">
      <c r="C292" s="838" t="s">
        <v>854</v>
      </c>
      <c r="D292" s="810" t="s">
        <v>1057</v>
      </c>
      <c r="E292" s="838" t="s">
        <v>1058</v>
      </c>
      <c r="F292" s="827">
        <v>44144</v>
      </c>
      <c r="G292" s="827">
        <v>44154</v>
      </c>
      <c r="H292" s="827">
        <v>44154</v>
      </c>
      <c r="I292" s="828">
        <v>33451.03</v>
      </c>
      <c r="J292" s="828">
        <v>29294.36</v>
      </c>
      <c r="K292" s="829" t="s">
        <v>702</v>
      </c>
      <c r="L292" s="810" t="str">
        <f t="shared" si="17"/>
        <v>11/2020</v>
      </c>
      <c r="M292" s="835">
        <f>_xlfn.XLOOKUP(L292,'Série Histórica IPCA'!$N$313:$N$447,'Série Histórica IPCA'!$J$313:$J$447,0)</f>
        <v>1.7549619517063357</v>
      </c>
      <c r="N292" s="828">
        <f t="shared" si="18"/>
        <v>19060.829192037938</v>
      </c>
    </row>
    <row r="293" spans="3:14">
      <c r="C293" s="838" t="s">
        <v>854</v>
      </c>
      <c r="D293" s="810" t="s">
        <v>1059</v>
      </c>
      <c r="E293" s="838" t="s">
        <v>1060</v>
      </c>
      <c r="F293" s="827">
        <v>44144</v>
      </c>
      <c r="G293" s="827">
        <v>44154</v>
      </c>
      <c r="H293" s="827">
        <v>44154</v>
      </c>
      <c r="I293" s="828">
        <v>20104.900000000001</v>
      </c>
      <c r="J293" s="828">
        <v>17863.2</v>
      </c>
      <c r="K293" s="829" t="s">
        <v>702</v>
      </c>
      <c r="L293" s="810" t="str">
        <f t="shared" si="17"/>
        <v>11/2020</v>
      </c>
      <c r="M293" s="835">
        <f>_xlfn.XLOOKUP(L293,'Série Histórica IPCA'!$N$313:$N$447,'Série Histórica IPCA'!$J$313:$J$447,0)</f>
        <v>1.7549619517063357</v>
      </c>
      <c r="N293" s="828">
        <f t="shared" si="18"/>
        <v>11456.031841859685</v>
      </c>
    </row>
    <row r="294" spans="3:14">
      <c r="C294" s="838" t="s">
        <v>854</v>
      </c>
      <c r="D294" s="810" t="s">
        <v>1061</v>
      </c>
      <c r="E294" s="838" t="s">
        <v>1060</v>
      </c>
      <c r="F294" s="827">
        <v>44144</v>
      </c>
      <c r="G294" s="827">
        <v>44154</v>
      </c>
      <c r="H294" s="827">
        <v>44154</v>
      </c>
      <c r="I294" s="828">
        <v>4304.6000000000004</v>
      </c>
      <c r="J294" s="828">
        <v>3824.64</v>
      </c>
      <c r="K294" s="829" t="s">
        <v>702</v>
      </c>
      <c r="L294" s="810" t="str">
        <f t="shared" si="17"/>
        <v>11/2020</v>
      </c>
      <c r="M294" s="835">
        <f>_xlfn.XLOOKUP(L294,'Série Histórica IPCA'!$N$313:$N$447,'Série Histórica IPCA'!$J$313:$J$447,0)</f>
        <v>1.7549619517063357</v>
      </c>
      <c r="N294" s="828">
        <f t="shared" si="18"/>
        <v>2452.8167096811821</v>
      </c>
    </row>
    <row r="295" spans="3:14">
      <c r="C295" s="838" t="s">
        <v>854</v>
      </c>
      <c r="D295" s="810" t="s">
        <v>1062</v>
      </c>
      <c r="E295" s="838" t="s">
        <v>1060</v>
      </c>
      <c r="F295" s="827">
        <v>44144</v>
      </c>
      <c r="G295" s="827">
        <v>44154</v>
      </c>
      <c r="H295" s="827">
        <v>44154</v>
      </c>
      <c r="I295" s="828">
        <v>2587.1799999999998</v>
      </c>
      <c r="J295" s="828">
        <v>2298.71</v>
      </c>
      <c r="K295" s="829" t="s">
        <v>702</v>
      </c>
      <c r="L295" s="810" t="str">
        <f t="shared" si="17"/>
        <v>11/2020</v>
      </c>
      <c r="M295" s="835">
        <f>_xlfn.XLOOKUP(L295,'Série Histórica IPCA'!$N$313:$N$447,'Série Histórica IPCA'!$J$313:$J$447,0)</f>
        <v>1.7549619517063357</v>
      </c>
      <c r="N295" s="828">
        <f t="shared" si="18"/>
        <v>1474.2085989297404</v>
      </c>
    </row>
    <row r="296" spans="3:14">
      <c r="C296" s="836" t="s">
        <v>854</v>
      </c>
      <c r="D296" s="842" t="s">
        <v>1063</v>
      </c>
      <c r="E296" s="830" t="s">
        <v>1060</v>
      </c>
      <c r="F296" s="832">
        <v>44144</v>
      </c>
      <c r="G296" s="832">
        <v>44154</v>
      </c>
      <c r="H296" s="832">
        <v>44154</v>
      </c>
      <c r="I296" s="833">
        <v>22300.69</v>
      </c>
      <c r="J296" s="833">
        <v>19529.599999999999</v>
      </c>
      <c r="K296" s="834" t="s">
        <v>705</v>
      </c>
      <c r="L296" s="810" t="str">
        <f t="shared" si="17"/>
        <v>11/2020</v>
      </c>
      <c r="M296" s="835">
        <f>_xlfn.XLOOKUP(L296,'Série Histórica IPCA'!$N$313:$N$447,'Série Histórica IPCA'!$J$313:$J$447,0)</f>
        <v>1.7549619517063357</v>
      </c>
      <c r="N296" s="833">
        <f t="shared" si="18"/>
        <v>12707.221360735037</v>
      </c>
    </row>
    <row r="297" spans="3:14">
      <c r="C297" s="836" t="s">
        <v>854</v>
      </c>
      <c r="D297" s="842" t="s">
        <v>1064</v>
      </c>
      <c r="E297" s="830" t="s">
        <v>1060</v>
      </c>
      <c r="F297" s="832">
        <v>44144</v>
      </c>
      <c r="G297" s="832">
        <v>44154</v>
      </c>
      <c r="H297" s="832">
        <v>44154</v>
      </c>
      <c r="I297" s="833">
        <v>13403.27</v>
      </c>
      <c r="J297" s="833">
        <v>11908.81</v>
      </c>
      <c r="K297" s="834" t="s">
        <v>705</v>
      </c>
      <c r="L297" s="810" t="str">
        <f t="shared" si="17"/>
        <v>11/2020</v>
      </c>
      <c r="M297" s="835">
        <f>_xlfn.XLOOKUP(L297,'Série Histórica IPCA'!$N$313:$N$447,'Série Histórica IPCA'!$J$313:$J$447,0)</f>
        <v>1.7549619517063357</v>
      </c>
      <c r="N297" s="833">
        <f t="shared" si="18"/>
        <v>7637.3564606162008</v>
      </c>
    </row>
    <row r="298" spans="3:14">
      <c r="C298" s="836" t="s">
        <v>854</v>
      </c>
      <c r="D298" s="842" t="s">
        <v>1065</v>
      </c>
      <c r="E298" s="830" t="s">
        <v>1060</v>
      </c>
      <c r="F298" s="832">
        <v>44144</v>
      </c>
      <c r="G298" s="832">
        <v>44154</v>
      </c>
      <c r="H298" s="832">
        <v>44154</v>
      </c>
      <c r="I298" s="833">
        <v>2869.73</v>
      </c>
      <c r="J298" s="833">
        <v>2549.75</v>
      </c>
      <c r="K298" s="834" t="s">
        <v>705</v>
      </c>
      <c r="L298" s="810" t="str">
        <f t="shared" si="17"/>
        <v>11/2020</v>
      </c>
      <c r="M298" s="835">
        <f>_xlfn.XLOOKUP(L298,'Série Histórica IPCA'!$N$313:$N$447,'Série Histórica IPCA'!$J$313:$J$447,0)</f>
        <v>1.7549619517063357</v>
      </c>
      <c r="N298" s="833">
        <f t="shared" si="18"/>
        <v>1635.2092404110438</v>
      </c>
    </row>
    <row r="299" spans="3:14">
      <c r="C299" s="836" t="s">
        <v>854</v>
      </c>
      <c r="D299" s="842" t="s">
        <v>1066</v>
      </c>
      <c r="E299" s="830" t="s">
        <v>1060</v>
      </c>
      <c r="F299" s="832">
        <v>44144</v>
      </c>
      <c r="G299" s="832">
        <v>44154</v>
      </c>
      <c r="H299" s="832">
        <v>44154</v>
      </c>
      <c r="I299" s="833">
        <v>1724.79</v>
      </c>
      <c r="J299" s="833">
        <v>1532.48</v>
      </c>
      <c r="K299" s="834" t="s">
        <v>705</v>
      </c>
      <c r="L299" s="810" t="str">
        <f t="shared" si="17"/>
        <v>11/2020</v>
      </c>
      <c r="M299" s="835">
        <f>_xlfn.XLOOKUP(L299,'Série Histórica IPCA'!$N$313:$N$447,'Série Histórica IPCA'!$J$313:$J$447,0)</f>
        <v>1.7549619517063357</v>
      </c>
      <c r="N299" s="833">
        <f t="shared" si="18"/>
        <v>982.807631996238</v>
      </c>
    </row>
    <row r="300" spans="3:14">
      <c r="C300" s="838" t="s">
        <v>854</v>
      </c>
      <c r="D300" s="810" t="s">
        <v>1067</v>
      </c>
      <c r="E300" s="838" t="s">
        <v>1068</v>
      </c>
      <c r="F300" s="827">
        <v>44174</v>
      </c>
      <c r="G300" s="827">
        <v>44195</v>
      </c>
      <c r="H300" s="827">
        <v>44195</v>
      </c>
      <c r="I300" s="828">
        <v>33048.22</v>
      </c>
      <c r="J300" s="828">
        <v>28941.66</v>
      </c>
      <c r="K300" s="829" t="s">
        <v>702</v>
      </c>
      <c r="L300" s="810" t="str">
        <f t="shared" si="17"/>
        <v>12/2020</v>
      </c>
      <c r="M300" s="835">
        <f>_xlfn.XLOOKUP(L300,'Série Histórica IPCA'!$N$313:$N$447,'Série Histórica IPCA'!$J$313:$J$447,0)</f>
        <v>1.7786545713929292</v>
      </c>
      <c r="N300" s="828">
        <f t="shared" si="18"/>
        <v>18580.459933891907</v>
      </c>
    </row>
    <row r="301" spans="3:14">
      <c r="C301" s="838" t="s">
        <v>854</v>
      </c>
      <c r="D301" s="810" t="s">
        <v>1069</v>
      </c>
      <c r="E301" s="838" t="s">
        <v>1070</v>
      </c>
      <c r="F301" s="827">
        <v>44174</v>
      </c>
      <c r="G301" s="827">
        <v>44195</v>
      </c>
      <c r="H301" s="827">
        <v>44195</v>
      </c>
      <c r="I301" s="828">
        <v>19862.810000000001</v>
      </c>
      <c r="J301" s="828">
        <v>17648.11</v>
      </c>
      <c r="K301" s="829" t="s">
        <v>702</v>
      </c>
      <c r="L301" s="810" t="str">
        <f t="shared" si="17"/>
        <v>12/2020</v>
      </c>
      <c r="M301" s="835">
        <f>_xlfn.XLOOKUP(L301,'Série Histórica IPCA'!$N$313:$N$447,'Série Histórica IPCA'!$J$313:$J$447,0)</f>
        <v>1.7786545713929292</v>
      </c>
      <c r="N301" s="828">
        <f t="shared" si="18"/>
        <v>11167.322941432474</v>
      </c>
    </row>
    <row r="302" spans="3:14">
      <c r="C302" s="838" t="s">
        <v>854</v>
      </c>
      <c r="D302" s="810" t="s">
        <v>1071</v>
      </c>
      <c r="E302" s="838" t="s">
        <v>1072</v>
      </c>
      <c r="F302" s="827">
        <v>44174</v>
      </c>
      <c r="G302" s="827">
        <v>44195</v>
      </c>
      <c r="H302" s="827">
        <v>44195</v>
      </c>
      <c r="I302" s="828">
        <v>4252.76</v>
      </c>
      <c r="J302" s="828">
        <v>3778.58</v>
      </c>
      <c r="K302" s="829" t="s">
        <v>702</v>
      </c>
      <c r="L302" s="810" t="str">
        <f t="shared" si="17"/>
        <v>12/2020</v>
      </c>
      <c r="M302" s="835">
        <f>_xlfn.XLOOKUP(L302,'Série Histórica IPCA'!$N$313:$N$447,'Série Histórica IPCA'!$J$313:$J$447,0)</f>
        <v>1.7786545713929292</v>
      </c>
      <c r="N302" s="828">
        <f t="shared" si="18"/>
        <v>2390.9982682413197</v>
      </c>
    </row>
    <row r="303" spans="3:14">
      <c r="C303" s="838" t="s">
        <v>854</v>
      </c>
      <c r="D303" s="810" t="s">
        <v>1073</v>
      </c>
      <c r="E303" s="838" t="s">
        <v>1074</v>
      </c>
      <c r="F303" s="827">
        <v>44174</v>
      </c>
      <c r="G303" s="827">
        <v>44195</v>
      </c>
      <c r="H303" s="827">
        <v>44195</v>
      </c>
      <c r="I303" s="828">
        <v>2556.0300000000002</v>
      </c>
      <c r="J303" s="828">
        <v>2271.0300000000002</v>
      </c>
      <c r="K303" s="829" t="s">
        <v>702</v>
      </c>
      <c r="L303" s="810" t="str">
        <f t="shared" si="17"/>
        <v>12/2020</v>
      </c>
      <c r="M303" s="835">
        <f>_xlfn.XLOOKUP(L303,'Série Histórica IPCA'!$N$313:$N$447,'Série Histórica IPCA'!$J$313:$J$447,0)</f>
        <v>1.7786545713929292</v>
      </c>
      <c r="N303" s="828">
        <f t="shared" si="18"/>
        <v>1437.0581230948515</v>
      </c>
    </row>
    <row r="304" spans="3:14">
      <c r="C304" s="836" t="s">
        <v>854</v>
      </c>
      <c r="D304" s="842" t="s">
        <v>1075</v>
      </c>
      <c r="E304" s="830" t="s">
        <v>1074</v>
      </c>
      <c r="F304" s="832">
        <v>44172</v>
      </c>
      <c r="G304" s="832">
        <v>44195</v>
      </c>
      <c r="H304" s="832">
        <v>44195</v>
      </c>
      <c r="I304" s="833">
        <v>22032.15</v>
      </c>
      <c r="J304" s="833">
        <v>19294.43</v>
      </c>
      <c r="K304" s="834" t="s">
        <v>705</v>
      </c>
      <c r="L304" s="810" t="str">
        <f t="shared" si="17"/>
        <v>12/2020</v>
      </c>
      <c r="M304" s="835">
        <f>_xlfn.XLOOKUP(L304,'Série Histórica IPCA'!$N$313:$N$447,'Série Histórica IPCA'!$J$313:$J$447,0)</f>
        <v>1.7786545713929292</v>
      </c>
      <c r="N304" s="833">
        <f t="shared" si="18"/>
        <v>12386.975163336983</v>
      </c>
    </row>
    <row r="305" spans="3:14">
      <c r="C305" s="836" t="s">
        <v>854</v>
      </c>
      <c r="D305" s="842" t="s">
        <v>1076</v>
      </c>
      <c r="E305" s="830" t="s">
        <v>1074</v>
      </c>
      <c r="F305" s="832">
        <v>44172</v>
      </c>
      <c r="G305" s="832">
        <v>44195</v>
      </c>
      <c r="H305" s="832">
        <v>44195</v>
      </c>
      <c r="I305" s="833">
        <v>13241.87</v>
      </c>
      <c r="J305" s="833">
        <v>11765.4</v>
      </c>
      <c r="K305" s="834" t="s">
        <v>705</v>
      </c>
      <c r="L305" s="810" t="str">
        <f t="shared" si="17"/>
        <v>12/2020</v>
      </c>
      <c r="M305" s="835">
        <f>_xlfn.XLOOKUP(L305,'Série Histórica IPCA'!$N$313:$N$447,'Série Histórica IPCA'!$J$313:$J$447,0)</f>
        <v>1.7786545713929292</v>
      </c>
      <c r="N305" s="833">
        <f t="shared" si="18"/>
        <v>7444.8800868792696</v>
      </c>
    </row>
    <row r="306" spans="3:14">
      <c r="C306" s="836" t="s">
        <v>854</v>
      </c>
      <c r="D306" s="842" t="s">
        <v>1077</v>
      </c>
      <c r="E306" s="830" t="s">
        <v>1078</v>
      </c>
      <c r="F306" s="832">
        <v>44172</v>
      </c>
      <c r="G306" s="832">
        <v>44195</v>
      </c>
      <c r="H306" s="832">
        <v>44195</v>
      </c>
      <c r="I306" s="833">
        <v>2835.17</v>
      </c>
      <c r="J306" s="833">
        <v>2519.04</v>
      </c>
      <c r="K306" s="834" t="s">
        <v>705</v>
      </c>
      <c r="L306" s="810" t="str">
        <f t="shared" si="17"/>
        <v>12/2020</v>
      </c>
      <c r="M306" s="835">
        <f>_xlfn.XLOOKUP(L306,'Série Histórica IPCA'!$N$313:$N$447,'Série Histórica IPCA'!$J$313:$J$447,0)</f>
        <v>1.7786545713929292</v>
      </c>
      <c r="N306" s="833">
        <f t="shared" si="18"/>
        <v>1593.9969714185004</v>
      </c>
    </row>
    <row r="307" spans="3:14">
      <c r="C307" s="836" t="s">
        <v>854</v>
      </c>
      <c r="D307" s="842" t="s">
        <v>1079</v>
      </c>
      <c r="E307" s="830" t="s">
        <v>1074</v>
      </c>
      <c r="F307" s="832">
        <v>44172</v>
      </c>
      <c r="G307" s="832">
        <v>44195</v>
      </c>
      <c r="H307" s="832">
        <v>44195</v>
      </c>
      <c r="I307" s="833">
        <v>1704.02</v>
      </c>
      <c r="J307" s="833">
        <v>1514.02</v>
      </c>
      <c r="K307" s="834" t="s">
        <v>705</v>
      </c>
      <c r="L307" s="810" t="str">
        <f t="shared" si="17"/>
        <v>12/2020</v>
      </c>
      <c r="M307" s="835">
        <f>_xlfn.XLOOKUP(L307,'Série Histórica IPCA'!$N$313:$N$447,'Série Histórica IPCA'!$J$313:$J$447,0)</f>
        <v>1.7786545713929292</v>
      </c>
      <c r="N307" s="833">
        <f t="shared" si="18"/>
        <v>958.03874872990082</v>
      </c>
    </row>
    <row r="308" spans="3:14">
      <c r="C308" s="838" t="s">
        <v>854</v>
      </c>
      <c r="D308" s="810" t="s">
        <v>1080</v>
      </c>
      <c r="E308" s="838" t="s">
        <v>1081</v>
      </c>
      <c r="F308" s="827">
        <v>44207</v>
      </c>
      <c r="G308" s="827">
        <v>44218</v>
      </c>
      <c r="H308" s="827">
        <v>44218</v>
      </c>
      <c r="I308" s="828">
        <v>64692.81</v>
      </c>
      <c r="J308" s="828">
        <v>56551.59</v>
      </c>
      <c r="K308" s="829" t="s">
        <v>702</v>
      </c>
      <c r="L308" s="810" t="str">
        <f t="shared" si="17"/>
        <v>1/2021</v>
      </c>
      <c r="M308" s="835">
        <f>_xlfn.XLOOKUP(L308,'Série Histórica IPCA'!$N$313:$N$447,'Série Histórica IPCA'!$J$313:$J$447,0)</f>
        <v>1.7831007360161726</v>
      </c>
      <c r="N308" s="828">
        <f t="shared" si="18"/>
        <v>36281.074138602809</v>
      </c>
    </row>
    <row r="309" spans="3:14">
      <c r="C309" s="838" t="s">
        <v>854</v>
      </c>
      <c r="D309" s="810" t="s">
        <v>1082</v>
      </c>
      <c r="E309" s="838" t="s">
        <v>1083</v>
      </c>
      <c r="F309" s="827">
        <v>44207</v>
      </c>
      <c r="G309" s="827">
        <v>44218</v>
      </c>
      <c r="H309" s="827">
        <v>44218</v>
      </c>
      <c r="I309" s="828">
        <v>38881.980000000003</v>
      </c>
      <c r="J309" s="828">
        <v>34546.639999999999</v>
      </c>
      <c r="K309" s="829" t="s">
        <v>702</v>
      </c>
      <c r="L309" s="810" t="str">
        <f t="shared" si="17"/>
        <v>1/2021</v>
      </c>
      <c r="M309" s="835">
        <f>_xlfn.XLOOKUP(L309,'Série Histórica IPCA'!$N$313:$N$447,'Série Histórica IPCA'!$J$313:$J$447,0)</f>
        <v>1.7831007360161726</v>
      </c>
      <c r="N309" s="828">
        <f t="shared" si="18"/>
        <v>21805.82353797388</v>
      </c>
    </row>
    <row r="310" spans="3:14">
      <c r="C310" s="838" t="s">
        <v>854</v>
      </c>
      <c r="D310" s="810" t="s">
        <v>1084</v>
      </c>
      <c r="E310" s="838" t="s">
        <v>1081</v>
      </c>
      <c r="F310" s="827">
        <v>44207</v>
      </c>
      <c r="G310" s="827">
        <v>44218</v>
      </c>
      <c r="H310" s="827">
        <v>44218</v>
      </c>
      <c r="I310" s="828">
        <v>8324.91</v>
      </c>
      <c r="J310" s="828">
        <v>7396.68</v>
      </c>
      <c r="K310" s="829" t="s">
        <v>702</v>
      </c>
      <c r="L310" s="810" t="str">
        <f t="shared" si="17"/>
        <v>1/2021</v>
      </c>
      <c r="M310" s="835">
        <f>_xlfn.XLOOKUP(L310,'Série Histórica IPCA'!$N$313:$N$447,'Série Histórica IPCA'!$J$313:$J$447,0)</f>
        <v>1.7831007360161726</v>
      </c>
      <c r="N310" s="828">
        <f t="shared" si="18"/>
        <v>4668.7827736528361</v>
      </c>
    </row>
    <row r="311" spans="3:14">
      <c r="C311" s="838" t="s">
        <v>854</v>
      </c>
      <c r="D311" s="810" t="s">
        <v>1085</v>
      </c>
      <c r="E311" s="838" t="s">
        <v>1081</v>
      </c>
      <c r="F311" s="827">
        <v>44207</v>
      </c>
      <c r="G311" s="827">
        <v>44218</v>
      </c>
      <c r="H311" s="827">
        <v>44218</v>
      </c>
      <c r="I311" s="828">
        <v>5003.4799999999996</v>
      </c>
      <c r="J311" s="828">
        <v>4445.6000000000004</v>
      </c>
      <c r="K311" s="829" t="s">
        <v>702</v>
      </c>
      <c r="L311" s="810" t="str">
        <f t="shared" si="17"/>
        <v>1/2021</v>
      </c>
      <c r="M311" s="835">
        <f>_xlfn.XLOOKUP(L311,'Série Histórica IPCA'!$N$313:$N$447,'Série Histórica IPCA'!$J$313:$J$447,0)</f>
        <v>1.7831007360161726</v>
      </c>
      <c r="N311" s="828">
        <f t="shared" si="18"/>
        <v>2806.0557089886247</v>
      </c>
    </row>
    <row r="312" spans="3:14">
      <c r="C312" s="836" t="s">
        <v>854</v>
      </c>
      <c r="D312" s="842" t="s">
        <v>1086</v>
      </c>
      <c r="E312" s="830" t="s">
        <v>1081</v>
      </c>
      <c r="F312" s="832">
        <v>44207</v>
      </c>
      <c r="G312" s="832">
        <v>44218</v>
      </c>
      <c r="H312" s="832">
        <v>44218</v>
      </c>
      <c r="I312" s="833">
        <v>43128.54</v>
      </c>
      <c r="J312" s="833">
        <v>37674.49</v>
      </c>
      <c r="K312" s="834" t="s">
        <v>705</v>
      </c>
      <c r="L312" s="810" t="str">
        <f t="shared" si="17"/>
        <v>1/2021</v>
      </c>
      <c r="M312" s="835">
        <f>_xlfn.XLOOKUP(L312,'Série Histórica IPCA'!$N$313:$N$447,'Série Histórica IPCA'!$J$313:$J$447,0)</f>
        <v>1.7831007360161726</v>
      </c>
      <c r="N312" s="833">
        <f t="shared" si="18"/>
        <v>24187.382759068543</v>
      </c>
    </row>
    <row r="313" spans="3:14">
      <c r="C313" s="836" t="s">
        <v>854</v>
      </c>
      <c r="D313" s="842" t="s">
        <v>1087</v>
      </c>
      <c r="E313" s="830" t="s">
        <v>1088</v>
      </c>
      <c r="F313" s="832">
        <v>44207</v>
      </c>
      <c r="G313" s="832">
        <v>44218</v>
      </c>
      <c r="H313" s="832">
        <v>44218</v>
      </c>
      <c r="I313" s="833">
        <v>25921.32</v>
      </c>
      <c r="J313" s="833">
        <v>23031.09</v>
      </c>
      <c r="K313" s="834" t="s">
        <v>705</v>
      </c>
      <c r="L313" s="810" t="str">
        <f t="shared" si="17"/>
        <v>1/2021</v>
      </c>
      <c r="M313" s="835">
        <f>_xlfn.XLOOKUP(L313,'Série Histórica IPCA'!$N$313:$N$447,'Série Histórica IPCA'!$J$313:$J$447,0)</f>
        <v>1.7831007360161726</v>
      </c>
      <c r="N313" s="833">
        <f t="shared" si="18"/>
        <v>14537.215691982585</v>
      </c>
    </row>
    <row r="314" spans="3:14">
      <c r="C314" s="836" t="s">
        <v>854</v>
      </c>
      <c r="D314" s="842" t="s">
        <v>1089</v>
      </c>
      <c r="E314" s="830" t="s">
        <v>1081</v>
      </c>
      <c r="F314" s="832">
        <v>44207</v>
      </c>
      <c r="G314" s="832">
        <v>44218</v>
      </c>
      <c r="H314" s="832">
        <v>44218</v>
      </c>
      <c r="I314" s="833">
        <v>5549.94</v>
      </c>
      <c r="J314" s="833">
        <v>4931.12</v>
      </c>
      <c r="K314" s="834" t="s">
        <v>705</v>
      </c>
      <c r="L314" s="810" t="str">
        <f t="shared" si="17"/>
        <v>1/2021</v>
      </c>
      <c r="M314" s="835">
        <f>_xlfn.XLOOKUP(L314,'Série Histórica IPCA'!$N$313:$N$447,'Série Histórica IPCA'!$J$313:$J$447,0)</f>
        <v>1.7831007360161726</v>
      </c>
      <c r="N314" s="833">
        <f t="shared" si="18"/>
        <v>3112.5218491018904</v>
      </c>
    </row>
    <row r="315" spans="3:14">
      <c r="C315" s="836" t="s">
        <v>854</v>
      </c>
      <c r="D315" s="842" t="s">
        <v>1090</v>
      </c>
      <c r="E315" s="830" t="s">
        <v>1081</v>
      </c>
      <c r="F315" s="832">
        <v>44207</v>
      </c>
      <c r="G315" s="832">
        <v>44218</v>
      </c>
      <c r="H315" s="832">
        <v>44218</v>
      </c>
      <c r="I315" s="833">
        <v>3335.66</v>
      </c>
      <c r="J315" s="833">
        <v>2963.74</v>
      </c>
      <c r="K315" s="834" t="s">
        <v>705</v>
      </c>
      <c r="L315" s="810" t="str">
        <f t="shared" si="17"/>
        <v>1/2021</v>
      </c>
      <c r="M315" s="835">
        <f>_xlfn.XLOOKUP(L315,'Série Histórica IPCA'!$N$313:$N$447,'Série Histórica IPCA'!$J$313:$J$447,0)</f>
        <v>1.7831007360161726</v>
      </c>
      <c r="N315" s="833">
        <f t="shared" si="18"/>
        <v>1870.70754479782</v>
      </c>
    </row>
    <row r="316" spans="3:14">
      <c r="C316" s="838" t="s">
        <v>821</v>
      </c>
      <c r="D316" s="826" t="s">
        <v>1091</v>
      </c>
      <c r="E316" s="838" t="s">
        <v>1092</v>
      </c>
      <c r="F316" s="827">
        <v>44235</v>
      </c>
      <c r="G316" s="827">
        <v>44250</v>
      </c>
      <c r="H316" s="827">
        <v>44250</v>
      </c>
      <c r="I316" s="828">
        <v>33451.03</v>
      </c>
      <c r="J316" s="828">
        <v>29294.36</v>
      </c>
      <c r="K316" s="829" t="s">
        <v>702</v>
      </c>
      <c r="L316" s="810" t="str">
        <f t="shared" si="17"/>
        <v>2/2021</v>
      </c>
      <c r="M316" s="835">
        <f>_xlfn.XLOOKUP(L316,'Série Histórica IPCA'!$N$313:$N$447,'Série Histórica IPCA'!$J$313:$J$447,0)</f>
        <v>1.7984352059469852</v>
      </c>
      <c r="N316" s="828">
        <f t="shared" si="18"/>
        <v>18600.075159441734</v>
      </c>
    </row>
    <row r="317" spans="3:14">
      <c r="C317" s="838" t="s">
        <v>821</v>
      </c>
      <c r="D317" s="826" t="s">
        <v>1093</v>
      </c>
      <c r="E317" s="838" t="s">
        <v>1092</v>
      </c>
      <c r="F317" s="827">
        <v>44235</v>
      </c>
      <c r="G317" s="827">
        <v>44250</v>
      </c>
      <c r="H317" s="827">
        <v>44250</v>
      </c>
      <c r="I317" s="828">
        <v>20104.900000000001</v>
      </c>
      <c r="J317" s="828">
        <v>17863.2</v>
      </c>
      <c r="K317" s="829" t="s">
        <v>702</v>
      </c>
      <c r="L317" s="810" t="str">
        <f t="shared" si="17"/>
        <v>2/2021</v>
      </c>
      <c r="M317" s="835">
        <f>_xlfn.XLOOKUP(L317,'Série Histórica IPCA'!$N$313:$N$447,'Série Histórica IPCA'!$J$313:$J$447,0)</f>
        <v>1.7984352059469852</v>
      </c>
      <c r="N317" s="828">
        <f t="shared" si="18"/>
        <v>11179.107222499879</v>
      </c>
    </row>
    <row r="318" spans="3:14">
      <c r="C318" s="838" t="s">
        <v>821</v>
      </c>
      <c r="D318" s="826" t="s">
        <v>1094</v>
      </c>
      <c r="E318" s="838" t="s">
        <v>1092</v>
      </c>
      <c r="F318" s="827">
        <v>44235</v>
      </c>
      <c r="G318" s="827">
        <v>44250</v>
      </c>
      <c r="H318" s="827">
        <v>44250</v>
      </c>
      <c r="I318" s="828">
        <v>4304.6000000000004</v>
      </c>
      <c r="J318" s="828">
        <v>3824.64</v>
      </c>
      <c r="K318" s="829" t="s">
        <v>702</v>
      </c>
      <c r="L318" s="810" t="str">
        <f t="shared" si="17"/>
        <v>2/2021</v>
      </c>
      <c r="M318" s="835">
        <f>_xlfn.XLOOKUP(L318,'Série Histórica IPCA'!$N$313:$N$447,'Série Histórica IPCA'!$J$313:$J$447,0)</f>
        <v>1.7984352059469852</v>
      </c>
      <c r="N318" s="828">
        <f t="shared" si="18"/>
        <v>2393.5252077838231</v>
      </c>
    </row>
    <row r="319" spans="3:14">
      <c r="C319" s="838" t="s">
        <v>821</v>
      </c>
      <c r="D319" s="826" t="s">
        <v>1095</v>
      </c>
      <c r="E319" s="838" t="s">
        <v>1092</v>
      </c>
      <c r="F319" s="827">
        <v>44235</v>
      </c>
      <c r="G319" s="827">
        <v>44250</v>
      </c>
      <c r="H319" s="827">
        <v>44250</v>
      </c>
      <c r="I319" s="828">
        <v>2587.1799999999998</v>
      </c>
      <c r="J319" s="828">
        <v>2298.71</v>
      </c>
      <c r="K319" s="829" t="s">
        <v>702</v>
      </c>
      <c r="L319" s="810" t="str">
        <f t="shared" si="17"/>
        <v>2/2021</v>
      </c>
      <c r="M319" s="835">
        <f>_xlfn.XLOOKUP(L319,'Série Histórica IPCA'!$N$313:$N$447,'Série Histórica IPCA'!$J$313:$J$447,0)</f>
        <v>1.7984352059469852</v>
      </c>
      <c r="N319" s="828">
        <f t="shared" si="18"/>
        <v>1438.5728167713958</v>
      </c>
    </row>
    <row r="320" spans="3:14">
      <c r="C320" s="830" t="s">
        <v>821</v>
      </c>
      <c r="D320" s="831" t="s">
        <v>1096</v>
      </c>
      <c r="E320" s="830" t="s">
        <v>1092</v>
      </c>
      <c r="F320" s="832">
        <v>44235</v>
      </c>
      <c r="G320" s="832">
        <v>44250</v>
      </c>
      <c r="H320" s="832">
        <v>44250</v>
      </c>
      <c r="I320" s="833">
        <v>22300.69</v>
      </c>
      <c r="J320" s="833">
        <v>19529.599999999999</v>
      </c>
      <c r="K320" s="834" t="s">
        <v>705</v>
      </c>
      <c r="L320" s="810" t="str">
        <f t="shared" si="17"/>
        <v>2/2021</v>
      </c>
      <c r="M320" s="835">
        <f>_xlfn.XLOOKUP(L320,'Série Histórica IPCA'!$N$313:$N$447,'Série Histórica IPCA'!$J$313:$J$447,0)</f>
        <v>1.7984352059469852</v>
      </c>
      <c r="N320" s="833">
        <f t="shared" si="18"/>
        <v>12400.051959757611</v>
      </c>
    </row>
    <row r="321" spans="3:14">
      <c r="C321" s="830" t="s">
        <v>821</v>
      </c>
      <c r="D321" s="831" t="s">
        <v>1097</v>
      </c>
      <c r="E321" s="830" t="s">
        <v>1098</v>
      </c>
      <c r="F321" s="832">
        <v>44235</v>
      </c>
      <c r="G321" s="832">
        <v>44250</v>
      </c>
      <c r="H321" s="832">
        <v>44250</v>
      </c>
      <c r="I321" s="833">
        <v>13403.27</v>
      </c>
      <c r="J321" s="833">
        <v>11908.81</v>
      </c>
      <c r="K321" s="834" t="s">
        <v>705</v>
      </c>
      <c r="L321" s="810" t="str">
        <f t="shared" si="17"/>
        <v>2/2021</v>
      </c>
      <c r="M321" s="835">
        <f>_xlfn.XLOOKUP(L321,'Série Histórica IPCA'!$N$313:$N$447,'Série Histórica IPCA'!$J$313:$J$447,0)</f>
        <v>1.7984352059469852</v>
      </c>
      <c r="N321" s="833">
        <f t="shared" si="18"/>
        <v>7452.7400017963755</v>
      </c>
    </row>
    <row r="322" spans="3:14">
      <c r="C322" s="830" t="s">
        <v>821</v>
      </c>
      <c r="D322" s="831" t="s">
        <v>1099</v>
      </c>
      <c r="E322" s="830" t="s">
        <v>1092</v>
      </c>
      <c r="F322" s="832">
        <v>44235</v>
      </c>
      <c r="G322" s="832">
        <v>44250</v>
      </c>
      <c r="H322" s="832">
        <v>44250</v>
      </c>
      <c r="I322" s="833">
        <v>2869.73</v>
      </c>
      <c r="J322" s="833">
        <v>2549.75</v>
      </c>
      <c r="K322" s="834" t="s">
        <v>705</v>
      </c>
      <c r="L322" s="810" t="str">
        <f t="shared" si="17"/>
        <v>2/2021</v>
      </c>
      <c r="M322" s="835">
        <f>_xlfn.XLOOKUP(L322,'Série Histórica IPCA'!$N$313:$N$447,'Série Histórica IPCA'!$J$313:$J$447,0)</f>
        <v>1.7984352059469852</v>
      </c>
      <c r="N322" s="833">
        <f t="shared" si="18"/>
        <v>1595.6816183927588</v>
      </c>
    </row>
    <row r="323" spans="3:14">
      <c r="C323" s="830" t="s">
        <v>821</v>
      </c>
      <c r="D323" s="831" t="s">
        <v>1100</v>
      </c>
      <c r="E323" s="830" t="s">
        <v>1092</v>
      </c>
      <c r="F323" s="832">
        <v>44235</v>
      </c>
      <c r="G323" s="832">
        <v>44250</v>
      </c>
      <c r="H323" s="832">
        <v>44250</v>
      </c>
      <c r="I323" s="833">
        <v>1724.79</v>
      </c>
      <c r="J323" s="833">
        <v>1532.48</v>
      </c>
      <c r="K323" s="834" t="s">
        <v>705</v>
      </c>
      <c r="L323" s="810" t="str">
        <f t="shared" si="17"/>
        <v>2/2021</v>
      </c>
      <c r="M323" s="835">
        <f>_xlfn.XLOOKUP(L323,'Série Histórica IPCA'!$N$313:$N$447,'Série Histórica IPCA'!$J$313:$J$447,0)</f>
        <v>1.7984352059469852</v>
      </c>
      <c r="N323" s="833">
        <f t="shared" si="18"/>
        <v>959.05039797738687</v>
      </c>
    </row>
    <row r="324" spans="3:14">
      <c r="C324" s="838" t="s">
        <v>854</v>
      </c>
      <c r="D324" s="810" t="s">
        <v>1101</v>
      </c>
      <c r="E324" s="838" t="s">
        <v>1102</v>
      </c>
      <c r="F324" s="827">
        <v>44270</v>
      </c>
      <c r="G324" s="827">
        <v>44291</v>
      </c>
      <c r="H324" s="827">
        <v>44291</v>
      </c>
      <c r="I324" s="828">
        <v>33048.22</v>
      </c>
      <c r="J324" s="828">
        <v>28911.78</v>
      </c>
      <c r="K324" s="829" t="s">
        <v>702</v>
      </c>
      <c r="L324" s="810" t="str">
        <f t="shared" si="17"/>
        <v>4/2021</v>
      </c>
      <c r="M324" s="835">
        <f>_xlfn.XLOOKUP(L324,'Série Histórica IPCA'!$N$313:$N$447,'Série Histórica IPCA'!$J$313:$J$447,0)</f>
        <v>1.8207875788874355</v>
      </c>
      <c r="N324" s="828">
        <f t="shared" si="18"/>
        <v>18150.508265326378</v>
      </c>
    </row>
    <row r="325" spans="3:14">
      <c r="C325" s="838" t="s">
        <v>854</v>
      </c>
      <c r="D325" s="810" t="s">
        <v>1103</v>
      </c>
      <c r="E325" s="838" t="s">
        <v>1102</v>
      </c>
      <c r="F325" s="827">
        <v>44270</v>
      </c>
      <c r="G325" s="827">
        <v>44291</v>
      </c>
      <c r="H325" s="827">
        <v>44291</v>
      </c>
      <c r="I325" s="828">
        <v>19862.810000000001</v>
      </c>
      <c r="J325" s="828">
        <v>17648.11</v>
      </c>
      <c r="K325" s="829" t="s">
        <v>702</v>
      </c>
      <c r="L325" s="810" t="str">
        <f t="shared" si="17"/>
        <v>4/2021</v>
      </c>
      <c r="M325" s="835">
        <f>_xlfn.XLOOKUP(L325,'Série Histórica IPCA'!$N$313:$N$447,'Série Histórica IPCA'!$J$313:$J$447,0)</f>
        <v>1.8207875788874355</v>
      </c>
      <c r="N325" s="828">
        <f t="shared" si="18"/>
        <v>10908.911193329246</v>
      </c>
    </row>
    <row r="326" spans="3:14">
      <c r="C326" s="838" t="s">
        <v>854</v>
      </c>
      <c r="D326" s="810" t="s">
        <v>1104</v>
      </c>
      <c r="E326" s="838" t="s">
        <v>1102</v>
      </c>
      <c r="F326" s="827">
        <v>44270</v>
      </c>
      <c r="G326" s="827">
        <v>44291</v>
      </c>
      <c r="H326" s="827">
        <v>44291</v>
      </c>
      <c r="I326" s="828">
        <v>4252.76</v>
      </c>
      <c r="J326" s="828">
        <v>3778.58</v>
      </c>
      <c r="K326" s="829" t="s">
        <v>702</v>
      </c>
      <c r="L326" s="810" t="str">
        <f t="shared" si="17"/>
        <v>4/2021</v>
      </c>
      <c r="M326" s="835">
        <f>_xlfn.XLOOKUP(L326,'Série Histórica IPCA'!$N$313:$N$447,'Série Histórica IPCA'!$J$313:$J$447,0)</f>
        <v>1.8207875788874355</v>
      </c>
      <c r="N326" s="828">
        <f t="shared" si="18"/>
        <v>2335.6705907443547</v>
      </c>
    </row>
    <row r="327" spans="3:14">
      <c r="C327" s="838" t="s">
        <v>854</v>
      </c>
      <c r="D327" s="810" t="s">
        <v>1105</v>
      </c>
      <c r="E327" s="838" t="s">
        <v>1102</v>
      </c>
      <c r="F327" s="827">
        <v>44270</v>
      </c>
      <c r="G327" s="827">
        <v>44291</v>
      </c>
      <c r="H327" s="827">
        <v>44291</v>
      </c>
      <c r="I327" s="828">
        <v>2556.0300000000002</v>
      </c>
      <c r="J327" s="828">
        <v>2271.0300000000002</v>
      </c>
      <c r="K327" s="829" t="s">
        <v>702</v>
      </c>
      <c r="L327" s="810" t="str">
        <f t="shared" si="17"/>
        <v>4/2021</v>
      </c>
      <c r="M327" s="835">
        <f>_xlfn.XLOOKUP(L327,'Série Histórica IPCA'!$N$313:$N$447,'Série Histórica IPCA'!$J$313:$J$447,0)</f>
        <v>1.8207875788874355</v>
      </c>
      <c r="N327" s="828">
        <f t="shared" si="18"/>
        <v>1403.8046116075898</v>
      </c>
    </row>
    <row r="328" spans="3:14">
      <c r="C328" s="836" t="s">
        <v>854</v>
      </c>
      <c r="D328" s="842" t="s">
        <v>1106</v>
      </c>
      <c r="E328" s="830" t="s">
        <v>1102</v>
      </c>
      <c r="F328" s="832">
        <v>44267</v>
      </c>
      <c r="G328" s="832">
        <v>44291</v>
      </c>
      <c r="H328" s="832">
        <v>44291</v>
      </c>
      <c r="I328" s="833">
        <v>22032.15</v>
      </c>
      <c r="J328" s="833">
        <v>19274.53</v>
      </c>
      <c r="K328" s="834" t="s">
        <v>705</v>
      </c>
      <c r="L328" s="810" t="str">
        <f t="shared" si="17"/>
        <v>4/2021</v>
      </c>
      <c r="M328" s="835">
        <f>_xlfn.XLOOKUP(L328,'Série Histórica IPCA'!$N$313:$N$447,'Série Histórica IPCA'!$J$313:$J$447,0)</f>
        <v>1.8207875788874355</v>
      </c>
      <c r="N328" s="833">
        <f t="shared" si="18"/>
        <v>12100.340674260537</v>
      </c>
    </row>
    <row r="329" spans="3:14">
      <c r="C329" s="836" t="s">
        <v>854</v>
      </c>
      <c r="D329" s="842" t="s">
        <v>1107</v>
      </c>
      <c r="E329" s="830" t="s">
        <v>1102</v>
      </c>
      <c r="F329" s="832">
        <v>44267</v>
      </c>
      <c r="G329" s="832">
        <v>44291</v>
      </c>
      <c r="H329" s="832">
        <v>44291</v>
      </c>
      <c r="I329" s="833">
        <v>13241.87</v>
      </c>
      <c r="J329" s="833">
        <v>11765.4</v>
      </c>
      <c r="K329" s="834" t="s">
        <v>705</v>
      </c>
      <c r="L329" s="810" t="str">
        <f t="shared" si="17"/>
        <v>4/2021</v>
      </c>
      <c r="M329" s="835">
        <f>_xlfn.XLOOKUP(L329,'Série Histórica IPCA'!$N$313:$N$447,'Série Histórica IPCA'!$J$313:$J$447,0)</f>
        <v>1.8207875788874355</v>
      </c>
      <c r="N329" s="833">
        <f t="shared" si="18"/>
        <v>7272.6056315098785</v>
      </c>
    </row>
    <row r="330" spans="3:14">
      <c r="C330" s="836" t="s">
        <v>854</v>
      </c>
      <c r="D330" s="842" t="s">
        <v>1108</v>
      </c>
      <c r="E330" s="830" t="s">
        <v>1102</v>
      </c>
      <c r="F330" s="832">
        <v>44267</v>
      </c>
      <c r="G330" s="832">
        <v>44291</v>
      </c>
      <c r="H330" s="832">
        <v>44291</v>
      </c>
      <c r="I330" s="833">
        <v>1704.02</v>
      </c>
      <c r="J330" s="833">
        <v>1514.02</v>
      </c>
      <c r="K330" s="834" t="s">
        <v>705</v>
      </c>
      <c r="L330" s="810" t="str">
        <f t="shared" si="17"/>
        <v>4/2021</v>
      </c>
      <c r="M330" s="835">
        <f>_xlfn.XLOOKUP(L330,'Série Histórica IPCA'!$N$313:$N$447,'Série Histórica IPCA'!$J$313:$J$447,0)</f>
        <v>1.8207875788874355</v>
      </c>
      <c r="N330" s="833">
        <f t="shared" si="18"/>
        <v>935.86974107172648</v>
      </c>
    </row>
    <row r="331" spans="3:14">
      <c r="C331" s="836" t="s">
        <v>854</v>
      </c>
      <c r="D331" s="842" t="s">
        <v>1109</v>
      </c>
      <c r="E331" s="830" t="s">
        <v>1102</v>
      </c>
      <c r="F331" s="832">
        <v>44267</v>
      </c>
      <c r="G331" s="832">
        <v>44291</v>
      </c>
      <c r="H331" s="832">
        <v>44291</v>
      </c>
      <c r="I331" s="833">
        <v>2835.17</v>
      </c>
      <c r="J331" s="833">
        <v>2519.04</v>
      </c>
      <c r="K331" s="834" t="s">
        <v>705</v>
      </c>
      <c r="L331" s="810" t="str">
        <f t="shared" si="17"/>
        <v>4/2021</v>
      </c>
      <c r="M331" s="835">
        <f>_xlfn.XLOOKUP(L331,'Série Histórica IPCA'!$N$313:$N$447,'Série Histórica IPCA'!$J$313:$J$447,0)</f>
        <v>1.8207875788874355</v>
      </c>
      <c r="N331" s="833">
        <f t="shared" si="18"/>
        <v>1557.111896453285</v>
      </c>
    </row>
    <row r="332" spans="3:14">
      <c r="C332" s="838" t="s">
        <v>854</v>
      </c>
      <c r="D332" s="810" t="s">
        <v>1110</v>
      </c>
      <c r="E332" s="838" t="s">
        <v>1111</v>
      </c>
      <c r="F332" s="827">
        <v>44287</v>
      </c>
      <c r="G332" s="827">
        <v>44320</v>
      </c>
      <c r="H332" s="827">
        <v>44320</v>
      </c>
      <c r="I332" s="828">
        <v>25371.57</v>
      </c>
      <c r="J332" s="828">
        <v>21826.7</v>
      </c>
      <c r="K332" s="829" t="s">
        <v>702</v>
      </c>
      <c r="L332" s="810" t="str">
        <f t="shared" si="17"/>
        <v>5/2021</v>
      </c>
      <c r="M332" s="835">
        <f>_xlfn.XLOOKUP(L332,'Série Histórica IPCA'!$N$313:$N$447,'Série Histórica IPCA'!$J$313:$J$447,0)</f>
        <v>1.8359013399268784</v>
      </c>
      <c r="N332" s="828">
        <f t="shared" si="18"/>
        <v>13819.680528699062</v>
      </c>
    </row>
    <row r="333" spans="3:14">
      <c r="C333" s="838" t="s">
        <v>854</v>
      </c>
      <c r="D333" s="810" t="s">
        <v>1112</v>
      </c>
      <c r="E333" s="838" t="s">
        <v>1111</v>
      </c>
      <c r="F333" s="827">
        <v>44287</v>
      </c>
      <c r="G333" s="827">
        <v>44320</v>
      </c>
      <c r="H333" s="827">
        <v>44320</v>
      </c>
      <c r="I333" s="828">
        <v>15248.95</v>
      </c>
      <c r="J333" s="828">
        <v>13548.69</v>
      </c>
      <c r="K333" s="829" t="s">
        <v>702</v>
      </c>
      <c r="L333" s="810" t="str">
        <f t="shared" si="17"/>
        <v>5/2021</v>
      </c>
      <c r="M333" s="835">
        <f>_xlfn.XLOOKUP(L333,'Série Histórica IPCA'!$N$313:$N$447,'Série Histórica IPCA'!$J$313:$J$447,0)</f>
        <v>1.8359013399268784</v>
      </c>
      <c r="N333" s="828">
        <f t="shared" si="18"/>
        <v>8305.9746558098523</v>
      </c>
    </row>
    <row r="334" spans="3:14">
      <c r="C334" s="836" t="s">
        <v>854</v>
      </c>
      <c r="D334" s="842" t="s">
        <v>1113</v>
      </c>
      <c r="E334" s="830" t="s">
        <v>1114</v>
      </c>
      <c r="F334" s="832">
        <v>44287</v>
      </c>
      <c r="G334" s="832">
        <v>44320</v>
      </c>
      <c r="H334" s="832">
        <v>44320</v>
      </c>
      <c r="I334" s="833">
        <v>16914.38</v>
      </c>
      <c r="J334" s="833">
        <v>14548.31</v>
      </c>
      <c r="K334" s="834" t="s">
        <v>705</v>
      </c>
      <c r="L334" s="810" t="str">
        <f t="shared" si="17"/>
        <v>5/2021</v>
      </c>
      <c r="M334" s="835">
        <f>_xlfn.XLOOKUP(L334,'Série Histórica IPCA'!$N$313:$N$447,'Série Histórica IPCA'!$J$313:$J$447,0)</f>
        <v>1.8359013399268784</v>
      </c>
      <c r="N334" s="833">
        <f t="shared" si="18"/>
        <v>9213.1203524660414</v>
      </c>
    </row>
    <row r="335" spans="3:14">
      <c r="C335" s="836" t="s">
        <v>854</v>
      </c>
      <c r="D335" s="842" t="s">
        <v>1115</v>
      </c>
      <c r="E335" s="830" t="s">
        <v>1111</v>
      </c>
      <c r="F335" s="832">
        <v>44287</v>
      </c>
      <c r="G335" s="832">
        <v>44320</v>
      </c>
      <c r="H335" s="832">
        <v>44320</v>
      </c>
      <c r="I335" s="833">
        <v>10165.969999999999</v>
      </c>
      <c r="J335" s="833">
        <v>9032.4699999999993</v>
      </c>
      <c r="K335" s="834" t="s">
        <v>705</v>
      </c>
      <c r="L335" s="810" t="str">
        <f t="shared" si="17"/>
        <v>5/2021</v>
      </c>
      <c r="M335" s="835">
        <f>_xlfn.XLOOKUP(L335,'Série Histórica IPCA'!$N$313:$N$447,'Série Histórica IPCA'!$J$313:$J$447,0)</f>
        <v>1.8359013399268784</v>
      </c>
      <c r="N335" s="833">
        <f t="shared" si="18"/>
        <v>5537.3182528451644</v>
      </c>
    </row>
    <row r="336" spans="3:14">
      <c r="C336" s="838" t="s">
        <v>854</v>
      </c>
      <c r="D336" s="810" t="s">
        <v>1116</v>
      </c>
      <c r="E336" s="838" t="s">
        <v>1117</v>
      </c>
      <c r="F336" s="827">
        <v>44298</v>
      </c>
      <c r="G336" s="827">
        <v>44326</v>
      </c>
      <c r="H336" s="827">
        <v>44326</v>
      </c>
      <c r="I336" s="828">
        <v>33048.22</v>
      </c>
      <c r="J336" s="828">
        <v>28911.86</v>
      </c>
      <c r="K336" s="829" t="s">
        <v>702</v>
      </c>
      <c r="L336" s="810" t="str">
        <f t="shared" si="17"/>
        <v>5/2021</v>
      </c>
      <c r="M336" s="835">
        <f>_xlfn.XLOOKUP(L336,'Série Histórica IPCA'!$N$313:$N$447,'Série Histórica IPCA'!$J$313:$J$447,0)</f>
        <v>1.8359013399268784</v>
      </c>
      <c r="N336" s="828">
        <f t="shared" si="18"/>
        <v>18001.087139745901</v>
      </c>
    </row>
    <row r="337" spans="3:14">
      <c r="C337" s="838" t="s">
        <v>854</v>
      </c>
      <c r="D337" s="810" t="s">
        <v>1118</v>
      </c>
      <c r="E337" s="838" t="s">
        <v>1117</v>
      </c>
      <c r="F337" s="827">
        <v>44298</v>
      </c>
      <c r="G337" s="827">
        <v>44326</v>
      </c>
      <c r="H337" s="827">
        <v>44326</v>
      </c>
      <c r="I337" s="828">
        <v>19862.810000000001</v>
      </c>
      <c r="J337" s="828">
        <v>17648.11</v>
      </c>
      <c r="K337" s="829" t="s">
        <v>702</v>
      </c>
      <c r="L337" s="810" t="str">
        <f t="shared" si="17"/>
        <v>5/2021</v>
      </c>
      <c r="M337" s="835">
        <f>_xlfn.XLOOKUP(L337,'Série Histórica IPCA'!$N$313:$N$447,'Série Histórica IPCA'!$J$313:$J$447,0)</f>
        <v>1.8359013399268784</v>
      </c>
      <c r="N337" s="828">
        <f t="shared" si="18"/>
        <v>10819.10534516583</v>
      </c>
    </row>
    <row r="338" spans="3:14">
      <c r="C338" s="838" t="s">
        <v>854</v>
      </c>
      <c r="D338" s="810" t="s">
        <v>1119</v>
      </c>
      <c r="E338" s="838" t="s">
        <v>1117</v>
      </c>
      <c r="F338" s="827">
        <v>44298</v>
      </c>
      <c r="G338" s="827">
        <v>44326</v>
      </c>
      <c r="H338" s="827">
        <v>44326</v>
      </c>
      <c r="I338" s="828">
        <v>4252.76</v>
      </c>
      <c r="J338" s="828">
        <v>3778.58</v>
      </c>
      <c r="K338" s="829" t="s">
        <v>702</v>
      </c>
      <c r="L338" s="810" t="str">
        <f t="shared" si="17"/>
        <v>5/2021</v>
      </c>
      <c r="M338" s="835">
        <f>_xlfn.XLOOKUP(L338,'Série Histórica IPCA'!$N$313:$N$447,'Série Histórica IPCA'!$J$313:$J$447,0)</f>
        <v>1.8359013399268784</v>
      </c>
      <c r="N338" s="828">
        <f t="shared" si="18"/>
        <v>2316.4425601265602</v>
      </c>
    </row>
    <row r="339" spans="3:14">
      <c r="C339" s="838" t="s">
        <v>854</v>
      </c>
      <c r="D339" s="810" t="s">
        <v>1120</v>
      </c>
      <c r="E339" s="838" t="s">
        <v>1117</v>
      </c>
      <c r="F339" s="827">
        <v>44298</v>
      </c>
      <c r="G339" s="827">
        <v>44326</v>
      </c>
      <c r="H339" s="827">
        <v>44326</v>
      </c>
      <c r="I339" s="828">
        <v>2556.0300000000002</v>
      </c>
      <c r="J339" s="828">
        <v>2271.0300000000002</v>
      </c>
      <c r="K339" s="829" t="s">
        <v>702</v>
      </c>
      <c r="L339" s="810" t="str">
        <f t="shared" si="17"/>
        <v>5/2021</v>
      </c>
      <c r="M339" s="835">
        <f>_xlfn.XLOOKUP(L339,'Série Histórica IPCA'!$N$313:$N$447,'Série Histórica IPCA'!$J$313:$J$447,0)</f>
        <v>1.8359013399268784</v>
      </c>
      <c r="N339" s="828">
        <f t="shared" si="18"/>
        <v>1392.2480170431181</v>
      </c>
    </row>
    <row r="340" spans="3:14">
      <c r="C340" s="836" t="s">
        <v>854</v>
      </c>
      <c r="D340" s="842" t="s">
        <v>1121</v>
      </c>
      <c r="E340" s="830" t="s">
        <v>1117</v>
      </c>
      <c r="F340" s="832">
        <v>44298</v>
      </c>
      <c r="G340" s="832">
        <v>44326</v>
      </c>
      <c r="H340" s="832">
        <v>44326</v>
      </c>
      <c r="I340" s="833">
        <v>22032.15</v>
      </c>
      <c r="J340" s="833">
        <v>19575.57</v>
      </c>
      <c r="K340" s="834" t="s">
        <v>705</v>
      </c>
      <c r="L340" s="810" t="str">
        <f t="shared" si="17"/>
        <v>5/2021</v>
      </c>
      <c r="M340" s="835">
        <f>_xlfn.XLOOKUP(L340,'Série Histórica IPCA'!$N$313:$N$447,'Série Histórica IPCA'!$J$313:$J$447,0)</f>
        <v>1.8359013399268784</v>
      </c>
      <c r="N340" s="833">
        <f t="shared" si="18"/>
        <v>12000.7265754692</v>
      </c>
    </row>
    <row r="341" spans="3:14">
      <c r="C341" s="836" t="s">
        <v>854</v>
      </c>
      <c r="D341" s="842" t="s">
        <v>1122</v>
      </c>
      <c r="E341" s="830" t="s">
        <v>1117</v>
      </c>
      <c r="F341" s="832">
        <v>44298</v>
      </c>
      <c r="G341" s="832">
        <v>44326</v>
      </c>
      <c r="H341" s="832">
        <v>44326</v>
      </c>
      <c r="I341" s="833">
        <v>13241.87</v>
      </c>
      <c r="J341" s="833">
        <v>11464.36</v>
      </c>
      <c r="K341" s="834" t="s">
        <v>705</v>
      </c>
      <c r="L341" s="810" t="str">
        <f t="shared" si="17"/>
        <v>5/2021</v>
      </c>
      <c r="M341" s="835">
        <f>_xlfn.XLOOKUP(L341,'Série Histórica IPCA'!$N$313:$N$447,'Série Histórica IPCA'!$J$313:$J$447,0)</f>
        <v>1.8359013399268784</v>
      </c>
      <c r="N341" s="833">
        <f t="shared" si="18"/>
        <v>7212.7350811386232</v>
      </c>
    </row>
    <row r="342" spans="3:14">
      <c r="C342" s="836" t="s">
        <v>854</v>
      </c>
      <c r="D342" s="842" t="s">
        <v>1123</v>
      </c>
      <c r="E342" s="830" t="s">
        <v>1117</v>
      </c>
      <c r="F342" s="832">
        <v>44298</v>
      </c>
      <c r="G342" s="832">
        <v>44326</v>
      </c>
      <c r="H342" s="832">
        <v>44326</v>
      </c>
      <c r="I342" s="833">
        <v>2835.17</v>
      </c>
      <c r="J342" s="833">
        <v>2519.04</v>
      </c>
      <c r="K342" s="834" t="s">
        <v>705</v>
      </c>
      <c r="L342" s="810" t="str">
        <f t="shared" si="17"/>
        <v>5/2021</v>
      </c>
      <c r="M342" s="835">
        <f>_xlfn.XLOOKUP(L342,'Série Histórica IPCA'!$N$313:$N$447,'Série Histórica IPCA'!$J$313:$J$447,0)</f>
        <v>1.8359013399268784</v>
      </c>
      <c r="N342" s="833">
        <f t="shared" si="18"/>
        <v>1544.2932244457761</v>
      </c>
    </row>
    <row r="343" spans="3:14">
      <c r="C343" s="836" t="s">
        <v>854</v>
      </c>
      <c r="D343" s="842" t="s">
        <v>1124</v>
      </c>
      <c r="E343" s="830" t="s">
        <v>1125</v>
      </c>
      <c r="F343" s="832">
        <v>44298</v>
      </c>
      <c r="G343" s="832">
        <v>44326</v>
      </c>
      <c r="H343" s="832">
        <v>44326</v>
      </c>
      <c r="I343" s="833">
        <v>1704.02</v>
      </c>
      <c r="J343" s="833">
        <v>1514.02</v>
      </c>
      <c r="K343" s="834" t="s">
        <v>705</v>
      </c>
      <c r="L343" s="810" t="str">
        <f t="shared" si="17"/>
        <v>5/2021</v>
      </c>
      <c r="M343" s="835">
        <f>_xlfn.XLOOKUP(L343,'Série Histórica IPCA'!$N$313:$N$447,'Série Histórica IPCA'!$J$313:$J$447,0)</f>
        <v>1.8359013399268784</v>
      </c>
      <c r="N343" s="833">
        <f t="shared" si="18"/>
        <v>928.16534469541205</v>
      </c>
    </row>
    <row r="344" spans="3:14">
      <c r="C344" s="838" t="s">
        <v>854</v>
      </c>
      <c r="D344" s="810" t="s">
        <v>1126</v>
      </c>
      <c r="E344" s="838" t="s">
        <v>1127</v>
      </c>
      <c r="F344" s="827">
        <v>44326</v>
      </c>
      <c r="G344" s="827">
        <v>44335</v>
      </c>
      <c r="H344" s="827">
        <v>44335</v>
      </c>
      <c r="I344" s="828">
        <v>33451.03</v>
      </c>
      <c r="J344" s="828">
        <v>29283</v>
      </c>
      <c r="K344" s="829" t="s">
        <v>702</v>
      </c>
      <c r="L344" s="810" t="str">
        <f t="shared" si="17"/>
        <v>5/2021</v>
      </c>
      <c r="M344" s="835">
        <f>_xlfn.XLOOKUP(L344,'Série Histórica IPCA'!$N$313:$N$447,'Série Histórica IPCA'!$J$313:$J$447,0)</f>
        <v>1.8359013399268784</v>
      </c>
      <c r="N344" s="828">
        <f t="shared" si="18"/>
        <v>18220.494354741477</v>
      </c>
    </row>
    <row r="345" spans="3:14">
      <c r="C345" s="838" t="s">
        <v>854</v>
      </c>
      <c r="D345" s="810" t="s">
        <v>1128</v>
      </c>
      <c r="E345" s="838" t="s">
        <v>1127</v>
      </c>
      <c r="F345" s="827">
        <v>44326</v>
      </c>
      <c r="G345" s="827">
        <v>44335</v>
      </c>
      <c r="H345" s="827">
        <v>44335</v>
      </c>
      <c r="I345" s="828">
        <v>20104.900000000001</v>
      </c>
      <c r="J345" s="828">
        <v>17863.2</v>
      </c>
      <c r="K345" s="829" t="s">
        <v>702</v>
      </c>
      <c r="L345" s="810" t="str">
        <f t="shared" si="17"/>
        <v>5/2021</v>
      </c>
      <c r="M345" s="835">
        <f>_xlfn.XLOOKUP(L345,'Série Histórica IPCA'!$N$313:$N$447,'Série Histórica IPCA'!$J$313:$J$447,0)</f>
        <v>1.8359013399268784</v>
      </c>
      <c r="N345" s="828">
        <f t="shared" si="18"/>
        <v>10950.96972956115</v>
      </c>
    </row>
    <row r="346" spans="3:14">
      <c r="C346" s="838" t="s">
        <v>854</v>
      </c>
      <c r="D346" s="810" t="s">
        <v>1129</v>
      </c>
      <c r="E346" s="838" t="s">
        <v>1127</v>
      </c>
      <c r="F346" s="827">
        <v>44326</v>
      </c>
      <c r="G346" s="827">
        <v>44335</v>
      </c>
      <c r="H346" s="827">
        <v>44335</v>
      </c>
      <c r="I346" s="828">
        <v>4304.6000000000004</v>
      </c>
      <c r="J346" s="828">
        <v>3824.64</v>
      </c>
      <c r="K346" s="829" t="s">
        <v>702</v>
      </c>
      <c r="L346" s="810" t="str">
        <f t="shared" si="17"/>
        <v>5/2021</v>
      </c>
      <c r="M346" s="835">
        <f>_xlfn.XLOOKUP(L346,'Série Histórica IPCA'!$N$313:$N$447,'Série Histórica IPCA'!$J$313:$J$447,0)</f>
        <v>1.8359013399268784</v>
      </c>
      <c r="N346" s="828">
        <f t="shared" si="18"/>
        <v>2344.6793715894596</v>
      </c>
    </row>
    <row r="347" spans="3:14">
      <c r="C347" s="838" t="s">
        <v>854</v>
      </c>
      <c r="D347" s="810" t="s">
        <v>1130</v>
      </c>
      <c r="E347" s="838" t="s">
        <v>1127</v>
      </c>
      <c r="F347" s="827">
        <v>44326</v>
      </c>
      <c r="G347" s="827">
        <v>44335</v>
      </c>
      <c r="H347" s="827">
        <v>44335</v>
      </c>
      <c r="I347" s="828">
        <v>2587.1799999999998</v>
      </c>
      <c r="J347" s="828">
        <v>2298.71</v>
      </c>
      <c r="K347" s="829" t="s">
        <v>702</v>
      </c>
      <c r="L347" s="810" t="str">
        <f t="shared" si="17"/>
        <v>5/2021</v>
      </c>
      <c r="M347" s="835">
        <f>_xlfn.XLOOKUP(L347,'Série Histórica IPCA'!$N$313:$N$447,'Série Histórica IPCA'!$J$313:$J$447,0)</f>
        <v>1.8359013399268784</v>
      </c>
      <c r="N347" s="828">
        <f t="shared" si="18"/>
        <v>1409.2151597334985</v>
      </c>
    </row>
    <row r="348" spans="3:14">
      <c r="C348" s="836" t="s">
        <v>854</v>
      </c>
      <c r="D348" s="842" t="s">
        <v>1131</v>
      </c>
      <c r="E348" s="830" t="s">
        <v>1127</v>
      </c>
      <c r="F348" s="832">
        <v>44323</v>
      </c>
      <c r="G348" s="832">
        <v>44335</v>
      </c>
      <c r="H348" s="832">
        <v>44335</v>
      </c>
      <c r="I348" s="833">
        <v>22300.69</v>
      </c>
      <c r="J348" s="833">
        <v>19522.04</v>
      </c>
      <c r="K348" s="834" t="s">
        <v>705</v>
      </c>
      <c r="L348" s="810" t="str">
        <f t="shared" si="17"/>
        <v>5/2021</v>
      </c>
      <c r="M348" s="835">
        <f>_xlfn.XLOOKUP(L348,'Série Histórica IPCA'!$N$313:$N$447,'Série Histórica IPCA'!$J$313:$J$447,0)</f>
        <v>1.8359013399268784</v>
      </c>
      <c r="N348" s="833">
        <f t="shared" si="18"/>
        <v>12146.998052132914</v>
      </c>
    </row>
    <row r="349" spans="3:14">
      <c r="C349" s="836" t="s">
        <v>854</v>
      </c>
      <c r="D349" s="842" t="s">
        <v>1132</v>
      </c>
      <c r="E349" s="830" t="s">
        <v>1127</v>
      </c>
      <c r="F349" s="832">
        <v>44323</v>
      </c>
      <c r="G349" s="832">
        <v>44335</v>
      </c>
      <c r="H349" s="832">
        <v>44335</v>
      </c>
      <c r="I349" s="833">
        <v>13403.27</v>
      </c>
      <c r="J349" s="833">
        <v>11908.81</v>
      </c>
      <c r="K349" s="834" t="s">
        <v>705</v>
      </c>
      <c r="L349" s="810" t="str">
        <f t="shared" si="17"/>
        <v>5/2021</v>
      </c>
      <c r="M349" s="835">
        <f>_xlfn.XLOOKUP(L349,'Série Histórica IPCA'!$N$313:$N$447,'Série Histórica IPCA'!$J$313:$J$447,0)</f>
        <v>1.8359013399268784</v>
      </c>
      <c r="N349" s="833">
        <f t="shared" si="18"/>
        <v>7300.6483020126971</v>
      </c>
    </row>
    <row r="350" spans="3:14">
      <c r="C350" s="836" t="s">
        <v>854</v>
      </c>
      <c r="D350" s="842" t="s">
        <v>1133</v>
      </c>
      <c r="E350" s="830" t="s">
        <v>1127</v>
      </c>
      <c r="F350" s="832">
        <v>44323</v>
      </c>
      <c r="G350" s="832">
        <v>44335</v>
      </c>
      <c r="H350" s="832">
        <v>44335</v>
      </c>
      <c r="I350" s="833">
        <v>2869.73</v>
      </c>
      <c r="J350" s="833">
        <v>2549.75</v>
      </c>
      <c r="K350" s="834" t="s">
        <v>705</v>
      </c>
      <c r="L350" s="810" t="str">
        <f t="shared" ref="L350:L413" si="19">MONTH(H350)&amp;"/"&amp;YEAR(H350)</f>
        <v>5/2021</v>
      </c>
      <c r="M350" s="835">
        <f>_xlfn.XLOOKUP(L350,'Série Histórica IPCA'!$N$313:$N$447,'Série Histórica IPCA'!$J$313:$J$447,0)</f>
        <v>1.8359013399268784</v>
      </c>
      <c r="N350" s="833">
        <f t="shared" ref="N350:N413" si="20">I350/M350</f>
        <v>1563.1177654210426</v>
      </c>
    </row>
    <row r="351" spans="3:14">
      <c r="C351" s="836" t="s">
        <v>854</v>
      </c>
      <c r="D351" s="842" t="s">
        <v>1134</v>
      </c>
      <c r="E351" s="830" t="s">
        <v>1127</v>
      </c>
      <c r="F351" s="832">
        <v>44323</v>
      </c>
      <c r="G351" s="832">
        <v>44335</v>
      </c>
      <c r="H351" s="832">
        <v>44335</v>
      </c>
      <c r="I351" s="833">
        <v>1724.79</v>
      </c>
      <c r="J351" s="833">
        <v>1532.48</v>
      </c>
      <c r="K351" s="834" t="s">
        <v>705</v>
      </c>
      <c r="L351" s="810" t="str">
        <f t="shared" si="19"/>
        <v>5/2021</v>
      </c>
      <c r="M351" s="835">
        <f>_xlfn.XLOOKUP(L351,'Série Histórica IPCA'!$N$313:$N$447,'Série Histórica IPCA'!$J$313:$J$447,0)</f>
        <v>1.8359013399268784</v>
      </c>
      <c r="N351" s="833">
        <f t="shared" si="20"/>
        <v>939.47858879426281</v>
      </c>
    </row>
    <row r="352" spans="3:14">
      <c r="C352" s="838" t="s">
        <v>854</v>
      </c>
      <c r="D352" s="810" t="s">
        <v>1135</v>
      </c>
      <c r="E352" s="838" t="s">
        <v>1136</v>
      </c>
      <c r="F352" s="827">
        <v>44354</v>
      </c>
      <c r="G352" s="827">
        <v>44376</v>
      </c>
      <c r="H352" s="827">
        <v>44376</v>
      </c>
      <c r="I352" s="828">
        <v>33048.22</v>
      </c>
      <c r="J352" s="828">
        <v>28930.43</v>
      </c>
      <c r="K352" s="829" t="s">
        <v>702</v>
      </c>
      <c r="L352" s="810" t="str">
        <f t="shared" si="19"/>
        <v>6/2021</v>
      </c>
      <c r="M352" s="835">
        <f>_xlfn.XLOOKUP(L352,'Série Histórica IPCA'!$N$313:$N$447,'Série Histórica IPCA'!$J$313:$J$447,0)</f>
        <v>1.8456317232246529</v>
      </c>
      <c r="N352" s="828">
        <f t="shared" si="20"/>
        <v>17906.183332316577</v>
      </c>
    </row>
    <row r="353" spans="3:14">
      <c r="C353" s="838" t="s">
        <v>854</v>
      </c>
      <c r="D353" s="810" t="s">
        <v>1137</v>
      </c>
      <c r="E353" s="838" t="s">
        <v>1136</v>
      </c>
      <c r="F353" s="827">
        <v>44354</v>
      </c>
      <c r="G353" s="827">
        <v>44376</v>
      </c>
      <c r="H353" s="827">
        <v>44376</v>
      </c>
      <c r="I353" s="828">
        <v>19862.810000000001</v>
      </c>
      <c r="J353" s="828">
        <v>17648.11</v>
      </c>
      <c r="K353" s="829" t="s">
        <v>702</v>
      </c>
      <c r="L353" s="810" t="str">
        <f t="shared" si="19"/>
        <v>6/2021</v>
      </c>
      <c r="M353" s="835">
        <f>_xlfn.XLOOKUP(L353,'Série Histórica IPCA'!$N$313:$N$447,'Série Histórica IPCA'!$J$313:$J$447,0)</f>
        <v>1.8456317232246529</v>
      </c>
      <c r="N353" s="828">
        <f t="shared" si="20"/>
        <v>10762.065774040811</v>
      </c>
    </row>
    <row r="354" spans="3:14">
      <c r="C354" s="838" t="s">
        <v>854</v>
      </c>
      <c r="D354" s="810" t="s">
        <v>1138</v>
      </c>
      <c r="E354" s="838" t="s">
        <v>1136</v>
      </c>
      <c r="F354" s="827">
        <v>44354</v>
      </c>
      <c r="G354" s="827">
        <v>44376</v>
      </c>
      <c r="H354" s="827">
        <v>44376</v>
      </c>
      <c r="I354" s="828">
        <v>4252.76</v>
      </c>
      <c r="J354" s="828">
        <v>3778.58</v>
      </c>
      <c r="K354" s="829" t="s">
        <v>702</v>
      </c>
      <c r="L354" s="810" t="str">
        <f t="shared" si="19"/>
        <v>6/2021</v>
      </c>
      <c r="M354" s="835">
        <f>_xlfn.XLOOKUP(L354,'Série Histórica IPCA'!$N$313:$N$447,'Série Histórica IPCA'!$J$313:$J$447,0)</f>
        <v>1.8456317232246529</v>
      </c>
      <c r="N354" s="828">
        <f t="shared" si="20"/>
        <v>2304.2300077989871</v>
      </c>
    </row>
    <row r="355" spans="3:14">
      <c r="C355" s="838" t="s">
        <v>854</v>
      </c>
      <c r="D355" s="810" t="s">
        <v>1139</v>
      </c>
      <c r="E355" s="838" t="s">
        <v>1136</v>
      </c>
      <c r="F355" s="827">
        <v>44354</v>
      </c>
      <c r="G355" s="827">
        <v>44376</v>
      </c>
      <c r="H355" s="827">
        <v>44376</v>
      </c>
      <c r="I355" s="828">
        <v>2556.0300000000002</v>
      </c>
      <c r="J355" s="828">
        <v>2271.0300000000002</v>
      </c>
      <c r="K355" s="829" t="s">
        <v>702</v>
      </c>
      <c r="L355" s="810" t="str">
        <f t="shared" si="19"/>
        <v>6/2021</v>
      </c>
      <c r="M355" s="835">
        <f>_xlfn.XLOOKUP(L355,'Série Histórica IPCA'!$N$313:$N$447,'Série Histórica IPCA'!$J$313:$J$447,0)</f>
        <v>1.8456317232246529</v>
      </c>
      <c r="N355" s="828">
        <f t="shared" si="20"/>
        <v>1384.9079249321489</v>
      </c>
    </row>
    <row r="356" spans="3:14">
      <c r="C356" s="836" t="s">
        <v>854</v>
      </c>
      <c r="D356" s="842" t="s">
        <v>1140</v>
      </c>
      <c r="E356" s="830" t="s">
        <v>1141</v>
      </c>
      <c r="F356" s="832">
        <v>44354</v>
      </c>
      <c r="G356" s="832">
        <v>44376</v>
      </c>
      <c r="H356" s="832">
        <v>44376</v>
      </c>
      <c r="I356" s="833">
        <v>13241.87</v>
      </c>
      <c r="J356" s="833">
        <v>11476.79</v>
      </c>
      <c r="K356" s="834" t="s">
        <v>705</v>
      </c>
      <c r="L356" s="810" t="str">
        <f t="shared" si="19"/>
        <v>6/2021</v>
      </c>
      <c r="M356" s="835">
        <f>_xlfn.XLOOKUP(L356,'Série Histórica IPCA'!$N$313:$N$447,'Série Histórica IPCA'!$J$313:$J$447,0)</f>
        <v>1.8456317232246529</v>
      </c>
      <c r="N356" s="833">
        <f t="shared" si="20"/>
        <v>7174.7087099608671</v>
      </c>
    </row>
    <row r="357" spans="3:14">
      <c r="C357" s="836" t="s">
        <v>854</v>
      </c>
      <c r="D357" s="842" t="s">
        <v>1142</v>
      </c>
      <c r="E357" s="830" t="s">
        <v>1141</v>
      </c>
      <c r="F357" s="832">
        <v>44354</v>
      </c>
      <c r="G357" s="832">
        <v>44376</v>
      </c>
      <c r="H357" s="832">
        <v>44376</v>
      </c>
      <c r="I357" s="833">
        <v>22032.15</v>
      </c>
      <c r="J357" s="833">
        <v>19575.57</v>
      </c>
      <c r="K357" s="834" t="s">
        <v>705</v>
      </c>
      <c r="L357" s="810" t="str">
        <f t="shared" si="19"/>
        <v>6/2021</v>
      </c>
      <c r="M357" s="835">
        <f>_xlfn.XLOOKUP(L357,'Série Histórica IPCA'!$N$313:$N$447,'Série Histórica IPCA'!$J$313:$J$447,0)</f>
        <v>1.8456317232246529</v>
      </c>
      <c r="N357" s="833">
        <f t="shared" si="20"/>
        <v>11937.457360944059</v>
      </c>
    </row>
    <row r="358" spans="3:14">
      <c r="C358" s="836" t="s">
        <v>854</v>
      </c>
      <c r="D358" s="842" t="s">
        <v>1143</v>
      </c>
      <c r="E358" s="830" t="s">
        <v>1136</v>
      </c>
      <c r="F358" s="832">
        <v>44354</v>
      </c>
      <c r="G358" s="832">
        <v>44376</v>
      </c>
      <c r="H358" s="832">
        <v>44376</v>
      </c>
      <c r="I358" s="833">
        <v>2835.17</v>
      </c>
      <c r="J358" s="833">
        <v>2519.04</v>
      </c>
      <c r="K358" s="834" t="s">
        <v>705</v>
      </c>
      <c r="L358" s="810" t="str">
        <f t="shared" si="19"/>
        <v>6/2021</v>
      </c>
      <c r="M358" s="835">
        <f>_xlfn.XLOOKUP(L358,'Série Histórica IPCA'!$N$313:$N$447,'Série Histórica IPCA'!$J$313:$J$447,0)</f>
        <v>1.8456317232246529</v>
      </c>
      <c r="N358" s="833">
        <f t="shared" si="20"/>
        <v>1536.1515324663171</v>
      </c>
    </row>
    <row r="359" spans="3:14">
      <c r="C359" s="836" t="s">
        <v>854</v>
      </c>
      <c r="D359" s="842" t="s">
        <v>1144</v>
      </c>
      <c r="E359" s="830" t="s">
        <v>1136</v>
      </c>
      <c r="F359" s="832">
        <v>44354</v>
      </c>
      <c r="G359" s="832">
        <v>44376</v>
      </c>
      <c r="H359" s="832">
        <v>44376</v>
      </c>
      <c r="I359" s="833">
        <v>1704.02</v>
      </c>
      <c r="J359" s="833">
        <v>1514.02</v>
      </c>
      <c r="K359" s="834" t="s">
        <v>705</v>
      </c>
      <c r="L359" s="810" t="str">
        <f t="shared" si="19"/>
        <v>6/2021</v>
      </c>
      <c r="M359" s="835">
        <f>_xlfn.XLOOKUP(L359,'Série Histórica IPCA'!$N$313:$N$447,'Série Histórica IPCA'!$J$313:$J$447,0)</f>
        <v>1.8456317232246529</v>
      </c>
      <c r="N359" s="833">
        <f t="shared" si="20"/>
        <v>923.27194995476589</v>
      </c>
    </row>
    <row r="360" spans="3:14">
      <c r="C360" s="830" t="s">
        <v>821</v>
      </c>
      <c r="D360" s="831" t="s">
        <v>1145</v>
      </c>
      <c r="E360" s="830" t="s">
        <v>1146</v>
      </c>
      <c r="F360" s="837">
        <v>44369</v>
      </c>
      <c r="G360" s="837">
        <v>44379</v>
      </c>
      <c r="H360" s="837">
        <v>44379</v>
      </c>
      <c r="I360" s="833">
        <v>112876.89</v>
      </c>
      <c r="J360" s="833">
        <v>110450.04</v>
      </c>
      <c r="K360" s="834" t="s">
        <v>1449</v>
      </c>
      <c r="L360" s="810" t="str">
        <f t="shared" si="19"/>
        <v>7/2021</v>
      </c>
      <c r="M360" s="835">
        <f>_xlfn.XLOOKUP(L360,'Série Histórica IPCA'!$N$313:$N$447,'Série Histórica IPCA'!$J$313:$J$447,0)</f>
        <v>1.8633492094463406</v>
      </c>
      <c r="N360" s="833">
        <f t="shared" si="20"/>
        <v>60577.421251886146</v>
      </c>
    </row>
    <row r="361" spans="3:14">
      <c r="C361" s="830" t="s">
        <v>821</v>
      </c>
      <c r="D361" s="831" t="s">
        <v>1147</v>
      </c>
      <c r="E361" s="830" t="s">
        <v>1148</v>
      </c>
      <c r="F361" s="837">
        <v>44378</v>
      </c>
      <c r="G361" s="837">
        <v>44392</v>
      </c>
      <c r="H361" s="837">
        <v>44392</v>
      </c>
      <c r="I361" s="833">
        <v>225000</v>
      </c>
      <c r="J361" s="833">
        <v>220162.5</v>
      </c>
      <c r="K361" s="834" t="s">
        <v>1449</v>
      </c>
      <c r="L361" s="810" t="str">
        <f t="shared" si="19"/>
        <v>7/2021</v>
      </c>
      <c r="M361" s="835">
        <f>_xlfn.XLOOKUP(L361,'Série Histórica IPCA'!$N$313:$N$447,'Série Histórica IPCA'!$J$313:$J$447,0)</f>
        <v>1.8633492094463406</v>
      </c>
      <c r="N361" s="833">
        <f t="shared" si="20"/>
        <v>120750.3128556641</v>
      </c>
    </row>
    <row r="362" spans="3:14">
      <c r="C362" s="838" t="s">
        <v>854</v>
      </c>
      <c r="D362" s="810" t="s">
        <v>1149</v>
      </c>
      <c r="E362" s="838" t="s">
        <v>1150</v>
      </c>
      <c r="F362" s="827">
        <v>44410</v>
      </c>
      <c r="G362" s="827">
        <v>44428</v>
      </c>
      <c r="H362" s="827">
        <v>44428</v>
      </c>
      <c r="I362" s="828">
        <v>33048.22</v>
      </c>
      <c r="J362" s="828">
        <v>28751.279999999999</v>
      </c>
      <c r="K362" s="829" t="s">
        <v>702</v>
      </c>
      <c r="L362" s="810" t="str">
        <f t="shared" si="19"/>
        <v>8/2021</v>
      </c>
      <c r="M362" s="835">
        <f>_xlfn.XLOOKUP(L362,'Série Histórica IPCA'!$N$313:$N$447,'Série Histórica IPCA'!$J$313:$J$447,0)</f>
        <v>1.8795601175834615</v>
      </c>
      <c r="N362" s="828">
        <f t="shared" si="20"/>
        <v>17582.954485377082</v>
      </c>
    </row>
    <row r="363" spans="3:14">
      <c r="C363" s="838" t="s">
        <v>854</v>
      </c>
      <c r="D363" s="810" t="s">
        <v>1151</v>
      </c>
      <c r="E363" s="838" t="s">
        <v>1152</v>
      </c>
      <c r="F363" s="827">
        <v>44410</v>
      </c>
      <c r="G363" s="827">
        <v>44428</v>
      </c>
      <c r="H363" s="827">
        <v>44428</v>
      </c>
      <c r="I363" s="828">
        <v>19862.810000000001</v>
      </c>
      <c r="J363" s="828">
        <v>17648.11</v>
      </c>
      <c r="K363" s="829" t="s">
        <v>702</v>
      </c>
      <c r="L363" s="810" t="str">
        <f t="shared" si="19"/>
        <v>8/2021</v>
      </c>
      <c r="M363" s="835">
        <f>_xlfn.XLOOKUP(L363,'Série Histórica IPCA'!$N$313:$N$447,'Série Histórica IPCA'!$J$313:$J$447,0)</f>
        <v>1.8795601175834615</v>
      </c>
      <c r="N363" s="828">
        <f t="shared" si="20"/>
        <v>10567.797121348525</v>
      </c>
    </row>
    <row r="364" spans="3:14">
      <c r="C364" s="838" t="s">
        <v>854</v>
      </c>
      <c r="D364" s="810" t="s">
        <v>1153</v>
      </c>
      <c r="E364" s="838" t="s">
        <v>1154</v>
      </c>
      <c r="F364" s="827">
        <v>44410</v>
      </c>
      <c r="G364" s="827">
        <v>44428</v>
      </c>
      <c r="H364" s="827">
        <v>44428</v>
      </c>
      <c r="I364" s="828">
        <v>4252.76</v>
      </c>
      <c r="J364" s="828">
        <v>3778.58</v>
      </c>
      <c r="K364" s="829" t="s">
        <v>702</v>
      </c>
      <c r="L364" s="810" t="str">
        <f t="shared" si="19"/>
        <v>8/2021</v>
      </c>
      <c r="M364" s="835">
        <f>_xlfn.XLOOKUP(L364,'Série Histórica IPCA'!$N$313:$N$447,'Série Histórica IPCA'!$J$313:$J$447,0)</f>
        <v>1.8795601175834615</v>
      </c>
      <c r="N364" s="828">
        <f t="shared" si="20"/>
        <v>2262.6357945218301</v>
      </c>
    </row>
    <row r="365" spans="3:14">
      <c r="C365" s="838" t="s">
        <v>854</v>
      </c>
      <c r="D365" s="810" t="s">
        <v>1155</v>
      </c>
      <c r="E365" s="838" t="s">
        <v>1156</v>
      </c>
      <c r="F365" s="827">
        <v>44410</v>
      </c>
      <c r="G365" s="827">
        <v>44428</v>
      </c>
      <c r="H365" s="827">
        <v>44428</v>
      </c>
      <c r="I365" s="828">
        <v>2556.0300000000002</v>
      </c>
      <c r="J365" s="828">
        <v>2271.0300000000002</v>
      </c>
      <c r="K365" s="829" t="s">
        <v>702</v>
      </c>
      <c r="L365" s="810" t="str">
        <f t="shared" si="19"/>
        <v>8/2021</v>
      </c>
      <c r="M365" s="835">
        <f>_xlfn.XLOOKUP(L365,'Série Histórica IPCA'!$N$313:$N$447,'Série Histórica IPCA'!$J$313:$J$447,0)</f>
        <v>1.8795601175834615</v>
      </c>
      <c r="N365" s="828">
        <f t="shared" si="20"/>
        <v>1359.908616962075</v>
      </c>
    </row>
    <row r="366" spans="3:14">
      <c r="C366" s="836" t="s">
        <v>854</v>
      </c>
      <c r="D366" s="842" t="s">
        <v>1157</v>
      </c>
      <c r="E366" s="830" t="s">
        <v>1154</v>
      </c>
      <c r="F366" s="832">
        <v>44410</v>
      </c>
      <c r="G366" s="832">
        <v>44428</v>
      </c>
      <c r="H366" s="832">
        <v>44428</v>
      </c>
      <c r="I366" s="833">
        <v>13241.87</v>
      </c>
      <c r="J366" s="833">
        <v>11765.4</v>
      </c>
      <c r="K366" s="834" t="s">
        <v>705</v>
      </c>
      <c r="L366" s="810" t="str">
        <f t="shared" si="19"/>
        <v>8/2021</v>
      </c>
      <c r="M366" s="835">
        <f>_xlfn.XLOOKUP(L366,'Série Histórica IPCA'!$N$313:$N$447,'Série Histórica IPCA'!$J$313:$J$447,0)</f>
        <v>1.8795601175834615</v>
      </c>
      <c r="N366" s="833">
        <f t="shared" si="20"/>
        <v>7045.1963074344167</v>
      </c>
    </row>
    <row r="367" spans="3:14">
      <c r="C367" s="836" t="s">
        <v>854</v>
      </c>
      <c r="D367" s="842" t="s">
        <v>1158</v>
      </c>
      <c r="E367" s="830" t="s">
        <v>1156</v>
      </c>
      <c r="F367" s="832">
        <v>44410</v>
      </c>
      <c r="G367" s="832">
        <v>44428</v>
      </c>
      <c r="H367" s="832">
        <v>44428</v>
      </c>
      <c r="I367" s="833">
        <v>2835.17</v>
      </c>
      <c r="J367" s="833">
        <v>2519.04</v>
      </c>
      <c r="K367" s="834" t="s">
        <v>705</v>
      </c>
      <c r="L367" s="810" t="str">
        <f t="shared" si="19"/>
        <v>8/2021</v>
      </c>
      <c r="M367" s="835">
        <f>_xlfn.XLOOKUP(L367,'Série Histórica IPCA'!$N$313:$N$447,'Série Histórica IPCA'!$J$313:$J$447,0)</f>
        <v>1.8795601175834615</v>
      </c>
      <c r="N367" s="833">
        <f t="shared" si="20"/>
        <v>1508.4220895499527</v>
      </c>
    </row>
    <row r="368" spans="3:14">
      <c r="C368" s="836" t="s">
        <v>854</v>
      </c>
      <c r="D368" s="842" t="s">
        <v>1159</v>
      </c>
      <c r="E368" s="830" t="s">
        <v>1160</v>
      </c>
      <c r="F368" s="832">
        <v>44410</v>
      </c>
      <c r="G368" s="832">
        <v>44428</v>
      </c>
      <c r="H368" s="832">
        <v>44428</v>
      </c>
      <c r="I368" s="833">
        <v>1704.02</v>
      </c>
      <c r="J368" s="833">
        <v>1514.02</v>
      </c>
      <c r="K368" s="834" t="s">
        <v>705</v>
      </c>
      <c r="L368" s="810" t="str">
        <f t="shared" si="19"/>
        <v>8/2021</v>
      </c>
      <c r="M368" s="835">
        <f>_xlfn.XLOOKUP(L368,'Série Histórica IPCA'!$N$313:$N$447,'Série Histórica IPCA'!$J$313:$J$447,0)</f>
        <v>1.8795601175834615</v>
      </c>
      <c r="N368" s="833">
        <f t="shared" si="20"/>
        <v>906.60574464138324</v>
      </c>
    </row>
    <row r="369" spans="3:14">
      <c r="C369" s="836" t="s">
        <v>854</v>
      </c>
      <c r="D369" s="842" t="s">
        <v>1161</v>
      </c>
      <c r="E369" s="830" t="s">
        <v>1152</v>
      </c>
      <c r="F369" s="832">
        <v>44410</v>
      </c>
      <c r="G369" s="832">
        <v>44428</v>
      </c>
      <c r="H369" s="832">
        <v>44428</v>
      </c>
      <c r="I369" s="833">
        <v>22032.15</v>
      </c>
      <c r="J369" s="833">
        <v>19167.509999999998</v>
      </c>
      <c r="K369" s="834" t="s">
        <v>705</v>
      </c>
      <c r="L369" s="810" t="str">
        <f t="shared" si="19"/>
        <v>8/2021</v>
      </c>
      <c r="M369" s="835">
        <f>_xlfn.XLOOKUP(L369,'Série Histórica IPCA'!$N$313:$N$447,'Série Histórica IPCA'!$J$313:$J$447,0)</f>
        <v>1.8795601175834615</v>
      </c>
      <c r="N369" s="833">
        <f t="shared" si="20"/>
        <v>11721.971430382657</v>
      </c>
    </row>
    <row r="370" spans="3:14">
      <c r="C370" s="838" t="s">
        <v>854</v>
      </c>
      <c r="D370" s="810" t="s">
        <v>1162</v>
      </c>
      <c r="E370" s="838" t="s">
        <v>1163</v>
      </c>
      <c r="F370" s="827">
        <v>44422</v>
      </c>
      <c r="G370" s="827">
        <v>44431</v>
      </c>
      <c r="H370" s="827">
        <v>44431</v>
      </c>
      <c r="I370" s="828">
        <v>33451.03</v>
      </c>
      <c r="J370" s="828">
        <v>29283.02</v>
      </c>
      <c r="K370" s="829" t="s">
        <v>702</v>
      </c>
      <c r="L370" s="810" t="str">
        <f t="shared" si="19"/>
        <v>8/2021</v>
      </c>
      <c r="M370" s="835">
        <f>_xlfn.XLOOKUP(L370,'Série Histórica IPCA'!$N$313:$N$447,'Série Histórica IPCA'!$J$313:$J$447,0)</f>
        <v>1.8795601175834615</v>
      </c>
      <c r="N370" s="828">
        <f t="shared" si="20"/>
        <v>17797.265268113784</v>
      </c>
    </row>
    <row r="371" spans="3:14">
      <c r="C371" s="838" t="s">
        <v>854</v>
      </c>
      <c r="D371" s="810" t="s">
        <v>1164</v>
      </c>
      <c r="E371" s="838" t="s">
        <v>1163</v>
      </c>
      <c r="F371" s="827">
        <v>44422</v>
      </c>
      <c r="G371" s="827">
        <v>44431</v>
      </c>
      <c r="H371" s="827">
        <v>44431</v>
      </c>
      <c r="I371" s="828">
        <v>20104.900000000001</v>
      </c>
      <c r="J371" s="828">
        <v>17863.2</v>
      </c>
      <c r="K371" s="829" t="s">
        <v>702</v>
      </c>
      <c r="L371" s="810" t="str">
        <f t="shared" si="19"/>
        <v>8/2021</v>
      </c>
      <c r="M371" s="835">
        <f>_xlfn.XLOOKUP(L371,'Série Histórica IPCA'!$N$313:$N$447,'Série Histórica IPCA'!$J$313:$J$447,0)</f>
        <v>1.8795601175834615</v>
      </c>
      <c r="N371" s="828">
        <f t="shared" si="20"/>
        <v>10696.598534900146</v>
      </c>
    </row>
    <row r="372" spans="3:14">
      <c r="C372" s="838" t="s">
        <v>854</v>
      </c>
      <c r="D372" s="810" t="s">
        <v>1165</v>
      </c>
      <c r="E372" s="838" t="s">
        <v>1163</v>
      </c>
      <c r="F372" s="827">
        <v>44422</v>
      </c>
      <c r="G372" s="827">
        <v>44431</v>
      </c>
      <c r="H372" s="827">
        <v>44431</v>
      </c>
      <c r="I372" s="828">
        <v>4304.6000000000004</v>
      </c>
      <c r="J372" s="828">
        <v>3824.64</v>
      </c>
      <c r="K372" s="829" t="s">
        <v>702</v>
      </c>
      <c r="L372" s="810" t="str">
        <f t="shared" si="19"/>
        <v>8/2021</v>
      </c>
      <c r="M372" s="835">
        <f>_xlfn.XLOOKUP(L372,'Série Histórica IPCA'!$N$313:$N$447,'Série Histórica IPCA'!$J$313:$J$447,0)</f>
        <v>1.8795601175834615</v>
      </c>
      <c r="N372" s="828">
        <f t="shared" si="20"/>
        <v>2290.2167159911846</v>
      </c>
    </row>
    <row r="373" spans="3:14">
      <c r="C373" s="838" t="s">
        <v>854</v>
      </c>
      <c r="D373" s="810" t="s">
        <v>1166</v>
      </c>
      <c r="E373" s="838" t="s">
        <v>1163</v>
      </c>
      <c r="F373" s="827">
        <v>44422</v>
      </c>
      <c r="G373" s="827">
        <v>44431</v>
      </c>
      <c r="H373" s="827">
        <v>44431</v>
      </c>
      <c r="I373" s="828">
        <v>2587.1799999999998</v>
      </c>
      <c r="J373" s="828">
        <v>2298.6999999999998</v>
      </c>
      <c r="K373" s="829" t="s">
        <v>702</v>
      </c>
      <c r="L373" s="810" t="str">
        <f t="shared" si="19"/>
        <v>8/2021</v>
      </c>
      <c r="M373" s="835">
        <f>_xlfn.XLOOKUP(L373,'Série Histórica IPCA'!$N$313:$N$447,'Série Histórica IPCA'!$J$313:$J$447,0)</f>
        <v>1.8795601175834615</v>
      </c>
      <c r="N373" s="828">
        <f t="shared" si="20"/>
        <v>1376.4816436551764</v>
      </c>
    </row>
    <row r="374" spans="3:14">
      <c r="C374" s="836" t="s">
        <v>854</v>
      </c>
      <c r="D374" s="842" t="s">
        <v>1167</v>
      </c>
      <c r="E374" s="830" t="s">
        <v>1163</v>
      </c>
      <c r="F374" s="832">
        <v>44421</v>
      </c>
      <c r="G374" s="832">
        <v>44431</v>
      </c>
      <c r="H374" s="832">
        <v>44431</v>
      </c>
      <c r="I374" s="833">
        <v>22300.69</v>
      </c>
      <c r="J374" s="833">
        <v>19522.04</v>
      </c>
      <c r="K374" s="834" t="s">
        <v>705</v>
      </c>
      <c r="L374" s="810" t="str">
        <f t="shared" si="19"/>
        <v>8/2021</v>
      </c>
      <c r="M374" s="835">
        <f>_xlfn.XLOOKUP(L374,'Série Histórica IPCA'!$N$313:$N$447,'Série Histórica IPCA'!$J$313:$J$447,0)</f>
        <v>1.8795601175834615</v>
      </c>
      <c r="N374" s="833">
        <f t="shared" si="20"/>
        <v>11864.845285540456</v>
      </c>
    </row>
    <row r="375" spans="3:14">
      <c r="C375" s="836" t="s">
        <v>854</v>
      </c>
      <c r="D375" s="842" t="s">
        <v>1168</v>
      </c>
      <c r="E375" s="830" t="s">
        <v>1163</v>
      </c>
      <c r="F375" s="832">
        <v>44421</v>
      </c>
      <c r="G375" s="832">
        <v>44431</v>
      </c>
      <c r="H375" s="832">
        <v>44431</v>
      </c>
      <c r="I375" s="833">
        <v>13403.27</v>
      </c>
      <c r="J375" s="833">
        <v>11908.81</v>
      </c>
      <c r="K375" s="834" t="s">
        <v>705</v>
      </c>
      <c r="L375" s="810" t="str">
        <f t="shared" si="19"/>
        <v>8/2021</v>
      </c>
      <c r="M375" s="835">
        <f>_xlfn.XLOOKUP(L375,'Série Histórica IPCA'!$N$313:$N$447,'Série Histórica IPCA'!$J$313:$J$447,0)</f>
        <v>1.8795601175834615</v>
      </c>
      <c r="N375" s="833">
        <f t="shared" si="20"/>
        <v>7131.0674633980316</v>
      </c>
    </row>
    <row r="376" spans="3:14">
      <c r="C376" s="836" t="s">
        <v>854</v>
      </c>
      <c r="D376" s="842" t="s">
        <v>1169</v>
      </c>
      <c r="E376" s="830" t="s">
        <v>1163</v>
      </c>
      <c r="F376" s="832">
        <v>44421</v>
      </c>
      <c r="G376" s="832">
        <v>44431</v>
      </c>
      <c r="H376" s="832">
        <v>44431</v>
      </c>
      <c r="I376" s="833">
        <v>2869.73</v>
      </c>
      <c r="J376" s="833">
        <v>2549.75</v>
      </c>
      <c r="K376" s="834" t="s">
        <v>705</v>
      </c>
      <c r="L376" s="810" t="str">
        <f t="shared" si="19"/>
        <v>8/2021</v>
      </c>
      <c r="M376" s="835">
        <f>_xlfn.XLOOKUP(L376,'Série Histórica IPCA'!$N$313:$N$447,'Série Histórica IPCA'!$J$313:$J$447,0)</f>
        <v>1.8795601175834615</v>
      </c>
      <c r="N376" s="833">
        <f t="shared" si="20"/>
        <v>1526.8093705295223</v>
      </c>
    </row>
    <row r="377" spans="3:14">
      <c r="C377" s="836" t="s">
        <v>854</v>
      </c>
      <c r="D377" s="842" t="s">
        <v>1170</v>
      </c>
      <c r="E377" s="830" t="s">
        <v>1171</v>
      </c>
      <c r="F377" s="832">
        <v>44421</v>
      </c>
      <c r="G377" s="832">
        <v>44431</v>
      </c>
      <c r="H377" s="832">
        <v>44431</v>
      </c>
      <c r="I377" s="833">
        <v>1724.79</v>
      </c>
      <c r="J377" s="833">
        <v>1532.48</v>
      </c>
      <c r="K377" s="834" t="s">
        <v>705</v>
      </c>
      <c r="L377" s="810" t="str">
        <f t="shared" si="19"/>
        <v>8/2021</v>
      </c>
      <c r="M377" s="835">
        <f>_xlfn.XLOOKUP(L377,'Série Histórica IPCA'!$N$313:$N$447,'Série Histórica IPCA'!$J$313:$J$447,0)</f>
        <v>1.8795601175834615</v>
      </c>
      <c r="N377" s="833">
        <f t="shared" si="20"/>
        <v>917.65620256805164</v>
      </c>
    </row>
    <row r="378" spans="3:14">
      <c r="C378" s="838" t="s">
        <v>854</v>
      </c>
      <c r="D378" s="810" t="s">
        <v>1172</v>
      </c>
      <c r="E378" s="838" t="s">
        <v>1173</v>
      </c>
      <c r="F378" s="827">
        <v>44426</v>
      </c>
      <c r="G378" s="827">
        <v>44454</v>
      </c>
      <c r="H378" s="827">
        <v>44454</v>
      </c>
      <c r="I378" s="828">
        <v>22567.47</v>
      </c>
      <c r="J378" s="828">
        <v>19680.89</v>
      </c>
      <c r="K378" s="829" t="s">
        <v>702</v>
      </c>
      <c r="L378" s="810" t="str">
        <f t="shared" si="19"/>
        <v>9/2021</v>
      </c>
      <c r="M378" s="835">
        <f>_xlfn.XLOOKUP(L378,'Série Histórica IPCA'!$N$313:$N$447,'Série Histórica IPCA'!$J$313:$J$447,0)</f>
        <v>1.9013623176352803</v>
      </c>
      <c r="N378" s="828">
        <f t="shared" si="20"/>
        <v>11869.105530642422</v>
      </c>
    </row>
    <row r="379" spans="3:14">
      <c r="C379" s="838" t="s">
        <v>854</v>
      </c>
      <c r="D379" s="810" t="s">
        <v>1174</v>
      </c>
      <c r="E379" s="838" t="s">
        <v>1173</v>
      </c>
      <c r="F379" s="827">
        <v>44426</v>
      </c>
      <c r="G379" s="827">
        <v>44454</v>
      </c>
      <c r="H379" s="827">
        <v>44454</v>
      </c>
      <c r="I379" s="828">
        <v>13563.61</v>
      </c>
      <c r="J379" s="828">
        <v>12051.27</v>
      </c>
      <c r="K379" s="829" t="s">
        <v>702</v>
      </c>
      <c r="L379" s="810" t="str">
        <f t="shared" si="19"/>
        <v>9/2021</v>
      </c>
      <c r="M379" s="835">
        <f>_xlfn.XLOOKUP(L379,'Série Histórica IPCA'!$N$313:$N$447,'Série Histórica IPCA'!$J$313:$J$447,0)</f>
        <v>1.9013623176352803</v>
      </c>
      <c r="N379" s="828">
        <f t="shared" si="20"/>
        <v>7133.6272283280705</v>
      </c>
    </row>
    <row r="380" spans="3:14">
      <c r="C380" s="836" t="s">
        <v>854</v>
      </c>
      <c r="D380" s="842" t="s">
        <v>1175</v>
      </c>
      <c r="E380" s="830" t="s">
        <v>1173</v>
      </c>
      <c r="F380" s="832">
        <v>44426</v>
      </c>
      <c r="G380" s="832">
        <v>44454</v>
      </c>
      <c r="H380" s="832">
        <v>44454</v>
      </c>
      <c r="I380" s="833">
        <v>15044.98</v>
      </c>
      <c r="J380" s="833">
        <v>13120.6</v>
      </c>
      <c r="K380" s="834" t="s">
        <v>705</v>
      </c>
      <c r="L380" s="810" t="str">
        <f t="shared" si="19"/>
        <v>9/2021</v>
      </c>
      <c r="M380" s="835">
        <f>_xlfn.XLOOKUP(L380,'Série Histórica IPCA'!$N$313:$N$447,'Série Histórica IPCA'!$J$313:$J$447,0)</f>
        <v>1.9013623176352803</v>
      </c>
      <c r="N380" s="833">
        <f t="shared" si="20"/>
        <v>7912.7370204282815</v>
      </c>
    </row>
    <row r="381" spans="3:14">
      <c r="C381" s="836" t="s">
        <v>854</v>
      </c>
      <c r="D381" s="842" t="s">
        <v>1176</v>
      </c>
      <c r="E381" s="830" t="s">
        <v>1173</v>
      </c>
      <c r="F381" s="832">
        <v>44426</v>
      </c>
      <c r="G381" s="832">
        <v>44454</v>
      </c>
      <c r="H381" s="832">
        <v>44454</v>
      </c>
      <c r="I381" s="833">
        <v>9042.4</v>
      </c>
      <c r="J381" s="833">
        <v>8034.17</v>
      </c>
      <c r="K381" s="834" t="s">
        <v>705</v>
      </c>
      <c r="L381" s="810" t="str">
        <f t="shared" si="19"/>
        <v>9/2021</v>
      </c>
      <c r="M381" s="835">
        <f>_xlfn.XLOOKUP(L381,'Série Histórica IPCA'!$N$313:$N$447,'Série Histórica IPCA'!$J$313:$J$447,0)</f>
        <v>1.9013623176352803</v>
      </c>
      <c r="N381" s="833">
        <f t="shared" si="20"/>
        <v>4755.7479792941358</v>
      </c>
    </row>
    <row r="382" spans="3:14">
      <c r="C382" s="838" t="s">
        <v>854</v>
      </c>
      <c r="D382" s="810" t="s">
        <v>1177</v>
      </c>
      <c r="E382" s="838" t="s">
        <v>1178</v>
      </c>
      <c r="F382" s="827">
        <v>44439</v>
      </c>
      <c r="G382" s="827">
        <v>44455</v>
      </c>
      <c r="H382" s="827">
        <v>44455</v>
      </c>
      <c r="I382" s="828">
        <v>11776.76</v>
      </c>
      <c r="J382" s="828">
        <v>10336.66</v>
      </c>
      <c r="K382" s="829" t="s">
        <v>702</v>
      </c>
      <c r="L382" s="810" t="str">
        <f t="shared" si="19"/>
        <v>9/2021</v>
      </c>
      <c r="M382" s="835">
        <f>_xlfn.XLOOKUP(L382,'Série Histórica IPCA'!$N$313:$N$447,'Série Histórica IPCA'!$J$313:$J$447,0)</f>
        <v>1.9013623176352803</v>
      </c>
      <c r="N382" s="828">
        <f t="shared" si="20"/>
        <v>6193.8536862594019</v>
      </c>
    </row>
    <row r="383" spans="3:14">
      <c r="C383" s="838" t="s">
        <v>854</v>
      </c>
      <c r="D383" s="810" t="s">
        <v>1179</v>
      </c>
      <c r="E383" s="838" t="s">
        <v>1178</v>
      </c>
      <c r="F383" s="827">
        <v>44439</v>
      </c>
      <c r="G383" s="827">
        <v>44455</v>
      </c>
      <c r="H383" s="827">
        <v>44455</v>
      </c>
      <c r="I383" s="828">
        <v>7078.13</v>
      </c>
      <c r="J383" s="828">
        <v>6288.92</v>
      </c>
      <c r="K383" s="829" t="s">
        <v>702</v>
      </c>
      <c r="L383" s="810" t="str">
        <f t="shared" si="19"/>
        <v>9/2021</v>
      </c>
      <c r="M383" s="835">
        <f>_xlfn.XLOOKUP(L383,'Série Histórica IPCA'!$N$313:$N$447,'Série Histórica IPCA'!$J$313:$J$447,0)</f>
        <v>1.9013623176352803</v>
      </c>
      <c r="N383" s="828">
        <f t="shared" si="20"/>
        <v>3722.6623954570919</v>
      </c>
    </row>
    <row r="384" spans="3:14">
      <c r="C384" s="838" t="s">
        <v>854</v>
      </c>
      <c r="D384" s="810" t="s">
        <v>1180</v>
      </c>
      <c r="E384" s="838" t="s">
        <v>1178</v>
      </c>
      <c r="F384" s="827">
        <v>44439</v>
      </c>
      <c r="G384" s="827">
        <v>44455</v>
      </c>
      <c r="H384" s="827">
        <v>44455</v>
      </c>
      <c r="I384" s="828">
        <v>2246.14</v>
      </c>
      <c r="J384" s="828">
        <v>1995.7</v>
      </c>
      <c r="K384" s="829" t="s">
        <v>702</v>
      </c>
      <c r="L384" s="810" t="str">
        <f t="shared" si="19"/>
        <v>9/2021</v>
      </c>
      <c r="M384" s="835">
        <f>_xlfn.XLOOKUP(L384,'Série Histórica IPCA'!$N$313:$N$447,'Série Histórica IPCA'!$J$313:$J$447,0)</f>
        <v>1.9013623176352803</v>
      </c>
      <c r="N384" s="828">
        <f t="shared" si="20"/>
        <v>1181.331921415966</v>
      </c>
    </row>
    <row r="385" spans="3:14">
      <c r="C385" s="838" t="s">
        <v>854</v>
      </c>
      <c r="D385" s="810" t="s">
        <v>1181</v>
      </c>
      <c r="E385" s="838" t="s">
        <v>1178</v>
      </c>
      <c r="F385" s="827">
        <v>44439</v>
      </c>
      <c r="G385" s="827">
        <v>44455</v>
      </c>
      <c r="H385" s="827">
        <v>44455</v>
      </c>
      <c r="I385" s="828">
        <v>1350</v>
      </c>
      <c r="J385" s="828">
        <v>1199.47</v>
      </c>
      <c r="K385" s="829" t="s">
        <v>702</v>
      </c>
      <c r="L385" s="810" t="str">
        <f t="shared" si="19"/>
        <v>9/2021</v>
      </c>
      <c r="M385" s="835">
        <f>_xlfn.XLOOKUP(L385,'Série Histórica IPCA'!$N$313:$N$447,'Série Histórica IPCA'!$J$313:$J$447,0)</f>
        <v>1.9013623176352803</v>
      </c>
      <c r="N385" s="828">
        <f t="shared" si="20"/>
        <v>710.0172268476382</v>
      </c>
    </row>
    <row r="386" spans="3:14">
      <c r="C386" s="836" t="s">
        <v>854</v>
      </c>
      <c r="D386" s="842" t="s">
        <v>1182</v>
      </c>
      <c r="E386" s="830" t="s">
        <v>1178</v>
      </c>
      <c r="F386" s="832">
        <v>44438</v>
      </c>
      <c r="G386" s="832">
        <v>44455</v>
      </c>
      <c r="H386" s="832">
        <v>44455</v>
      </c>
      <c r="I386" s="833">
        <v>7851.17</v>
      </c>
      <c r="J386" s="833">
        <v>6891.1</v>
      </c>
      <c r="K386" s="834" t="s">
        <v>705</v>
      </c>
      <c r="L386" s="810" t="str">
        <f t="shared" si="19"/>
        <v>9/2021</v>
      </c>
      <c r="M386" s="835">
        <f>_xlfn.XLOOKUP(L386,'Série Histórica IPCA'!$N$313:$N$447,'Série Histórica IPCA'!$J$313:$J$447,0)</f>
        <v>1.9013623176352803</v>
      </c>
      <c r="N386" s="833">
        <f t="shared" si="20"/>
        <v>4129.2340377106457</v>
      </c>
    </row>
    <row r="387" spans="3:14">
      <c r="C387" s="836" t="s">
        <v>854</v>
      </c>
      <c r="D387" s="842" t="s">
        <v>1183</v>
      </c>
      <c r="E387" s="830" t="s">
        <v>1178</v>
      </c>
      <c r="F387" s="832">
        <v>44438</v>
      </c>
      <c r="G387" s="832">
        <v>44455</v>
      </c>
      <c r="H387" s="832">
        <v>44455</v>
      </c>
      <c r="I387" s="833">
        <v>4718.76</v>
      </c>
      <c r="J387" s="833">
        <v>4192.62</v>
      </c>
      <c r="K387" s="834" t="s">
        <v>705</v>
      </c>
      <c r="L387" s="810" t="str">
        <f t="shared" si="19"/>
        <v>9/2021</v>
      </c>
      <c r="M387" s="835">
        <f>_xlfn.XLOOKUP(L387,'Série Histórica IPCA'!$N$313:$N$447,'Série Histórica IPCA'!$J$313:$J$447,0)</f>
        <v>1.9013623176352803</v>
      </c>
      <c r="N387" s="833">
        <f t="shared" si="20"/>
        <v>2481.778436562638</v>
      </c>
    </row>
    <row r="388" spans="3:14">
      <c r="C388" s="836" t="s">
        <v>854</v>
      </c>
      <c r="D388" s="842" t="s">
        <v>1184</v>
      </c>
      <c r="E388" s="830" t="s">
        <v>1178</v>
      </c>
      <c r="F388" s="832">
        <v>44438</v>
      </c>
      <c r="G388" s="832">
        <v>44455</v>
      </c>
      <c r="H388" s="832">
        <v>44455</v>
      </c>
      <c r="I388" s="833">
        <v>1497.43</v>
      </c>
      <c r="J388" s="833">
        <v>1330.48</v>
      </c>
      <c r="K388" s="834" t="s">
        <v>705</v>
      </c>
      <c r="L388" s="810" t="str">
        <f t="shared" si="19"/>
        <v>9/2021</v>
      </c>
      <c r="M388" s="835">
        <f>_xlfn.XLOOKUP(L388,'Série Histórica IPCA'!$N$313:$N$447,'Série Histórica IPCA'!$J$313:$J$447,0)</f>
        <v>1.9013623176352803</v>
      </c>
      <c r="N388" s="833">
        <f t="shared" si="20"/>
        <v>787.55636740626585</v>
      </c>
    </row>
    <row r="389" spans="3:14">
      <c r="C389" s="836" t="s">
        <v>854</v>
      </c>
      <c r="D389" s="842" t="s">
        <v>1185</v>
      </c>
      <c r="E389" s="830" t="s">
        <v>1178</v>
      </c>
      <c r="F389" s="832">
        <v>44438</v>
      </c>
      <c r="G389" s="832">
        <v>44455</v>
      </c>
      <c r="H389" s="832">
        <v>44455</v>
      </c>
      <c r="I389" s="833">
        <v>899.99</v>
      </c>
      <c r="J389" s="833">
        <v>799.64</v>
      </c>
      <c r="K389" s="830" t="s">
        <v>705</v>
      </c>
      <c r="L389" s="810" t="str">
        <f t="shared" si="19"/>
        <v>9/2021</v>
      </c>
      <c r="M389" s="835">
        <f>_xlfn.XLOOKUP(L389,'Série Histórica IPCA'!$N$313:$N$447,'Série Histórica IPCA'!$J$313:$J$447,0)</f>
        <v>1.9013623176352803</v>
      </c>
      <c r="N389" s="833">
        <f t="shared" si="20"/>
        <v>473.33955851155997</v>
      </c>
    </row>
    <row r="390" spans="3:14">
      <c r="C390" s="838" t="s">
        <v>854</v>
      </c>
      <c r="D390" s="810" t="s">
        <v>1186</v>
      </c>
      <c r="E390" s="838" t="s">
        <v>1187</v>
      </c>
      <c r="F390" s="827">
        <v>44449</v>
      </c>
      <c r="G390" s="827">
        <v>44460</v>
      </c>
      <c r="H390" s="827">
        <v>44460</v>
      </c>
      <c r="I390" s="828">
        <v>43057.41</v>
      </c>
      <c r="J390" s="828">
        <v>37661.47</v>
      </c>
      <c r="K390" s="829" t="s">
        <v>702</v>
      </c>
      <c r="L390" s="810" t="str">
        <f t="shared" si="19"/>
        <v>9/2021</v>
      </c>
      <c r="M390" s="835">
        <f>_xlfn.XLOOKUP(L390,'Série Histórica IPCA'!$N$313:$N$447,'Série Histórica IPCA'!$J$313:$J$447,0)</f>
        <v>1.9013623176352803</v>
      </c>
      <c r="N390" s="828">
        <f t="shared" si="20"/>
        <v>22645.557661808718</v>
      </c>
    </row>
    <row r="391" spans="3:14">
      <c r="C391" s="838" t="s">
        <v>854</v>
      </c>
      <c r="D391" s="810" t="s">
        <v>1188</v>
      </c>
      <c r="E391" s="838" t="s">
        <v>1187</v>
      </c>
      <c r="F391" s="827">
        <v>44449</v>
      </c>
      <c r="G391" s="827">
        <v>44460</v>
      </c>
      <c r="H391" s="827">
        <v>44460</v>
      </c>
      <c r="I391" s="828">
        <v>25878.58</v>
      </c>
      <c r="J391" s="828">
        <v>22993.11</v>
      </c>
      <c r="K391" s="829" t="s">
        <v>702</v>
      </c>
      <c r="L391" s="810" t="str">
        <f t="shared" si="19"/>
        <v>9/2021</v>
      </c>
      <c r="M391" s="835">
        <f>_xlfn.XLOOKUP(L391,'Série Histórica IPCA'!$N$313:$N$447,'Série Histórica IPCA'!$J$313:$J$447,0)</f>
        <v>1.9013623176352803</v>
      </c>
      <c r="N391" s="828">
        <f t="shared" si="20"/>
        <v>13610.546375077596</v>
      </c>
    </row>
    <row r="392" spans="3:14">
      <c r="C392" s="838" t="s">
        <v>854</v>
      </c>
      <c r="D392" s="810" t="s">
        <v>1189</v>
      </c>
      <c r="E392" s="838" t="s">
        <v>1187</v>
      </c>
      <c r="F392" s="827">
        <v>44449</v>
      </c>
      <c r="G392" s="827">
        <v>44460</v>
      </c>
      <c r="H392" s="827">
        <v>44460</v>
      </c>
      <c r="I392" s="828">
        <v>8212.2000000000007</v>
      </c>
      <c r="J392" s="828">
        <v>7296.54</v>
      </c>
      <c r="K392" s="829" t="s">
        <v>702</v>
      </c>
      <c r="L392" s="810" t="str">
        <f t="shared" si="19"/>
        <v>9/2021</v>
      </c>
      <c r="M392" s="835">
        <f>_xlfn.XLOOKUP(L392,'Série Histórica IPCA'!$N$313:$N$447,'Série Histórica IPCA'!$J$313:$J$447,0)</f>
        <v>1.9013623176352803</v>
      </c>
      <c r="N392" s="828">
        <f t="shared" si="20"/>
        <v>4319.1136817171664</v>
      </c>
    </row>
    <row r="393" spans="3:14">
      <c r="C393" s="838" t="s">
        <v>854</v>
      </c>
      <c r="D393" s="810" t="s">
        <v>1190</v>
      </c>
      <c r="E393" s="838" t="s">
        <v>1187</v>
      </c>
      <c r="F393" s="827">
        <v>44449</v>
      </c>
      <c r="G393" s="827">
        <v>44460</v>
      </c>
      <c r="H393" s="827">
        <v>44460</v>
      </c>
      <c r="I393" s="828">
        <v>4935.75</v>
      </c>
      <c r="J393" s="828">
        <v>4385.41</v>
      </c>
      <c r="K393" s="829" t="s">
        <v>702</v>
      </c>
      <c r="L393" s="810" t="str">
        <f t="shared" si="19"/>
        <v>9/2021</v>
      </c>
      <c r="M393" s="835">
        <f>_xlfn.XLOOKUP(L393,'Série Histórica IPCA'!$N$313:$N$447,'Série Histórica IPCA'!$J$313:$J$447,0)</f>
        <v>1.9013623176352803</v>
      </c>
      <c r="N393" s="828">
        <f t="shared" si="20"/>
        <v>2595.9018721579487</v>
      </c>
    </row>
    <row r="394" spans="3:14">
      <c r="C394" s="836" t="s">
        <v>854</v>
      </c>
      <c r="D394" s="842" t="s">
        <v>1191</v>
      </c>
      <c r="E394" s="830" t="s">
        <v>1187</v>
      </c>
      <c r="F394" s="832">
        <v>44449</v>
      </c>
      <c r="G394" s="832">
        <v>44460</v>
      </c>
      <c r="H394" s="832">
        <v>44460</v>
      </c>
      <c r="I394" s="833">
        <v>28704.95</v>
      </c>
      <c r="J394" s="833">
        <v>25107.66</v>
      </c>
      <c r="K394" s="834" t="s">
        <v>705</v>
      </c>
      <c r="L394" s="810" t="str">
        <f t="shared" si="19"/>
        <v>9/2021</v>
      </c>
      <c r="M394" s="835">
        <f>_xlfn.XLOOKUP(L394,'Série Histórica IPCA'!$N$313:$N$447,'Série Histórica IPCA'!$J$313:$J$447,0)</f>
        <v>1.9013623176352803</v>
      </c>
      <c r="N394" s="833">
        <f t="shared" si="20"/>
        <v>15097.043700592676</v>
      </c>
    </row>
    <row r="395" spans="3:14">
      <c r="C395" s="836" t="s">
        <v>854</v>
      </c>
      <c r="D395" s="842" t="s">
        <v>1192</v>
      </c>
      <c r="E395" s="830" t="s">
        <v>1187</v>
      </c>
      <c r="F395" s="832">
        <v>44449</v>
      </c>
      <c r="G395" s="832">
        <v>44460</v>
      </c>
      <c r="H395" s="832">
        <v>44460</v>
      </c>
      <c r="I395" s="833">
        <v>17252.39</v>
      </c>
      <c r="J395" s="833">
        <v>15328.75</v>
      </c>
      <c r="K395" s="834" t="s">
        <v>705</v>
      </c>
      <c r="L395" s="810" t="str">
        <f t="shared" si="19"/>
        <v>9/2021</v>
      </c>
      <c r="M395" s="835">
        <f>_xlfn.XLOOKUP(L395,'Série Histórica IPCA'!$N$313:$N$447,'Série Histórica IPCA'!$J$313:$J$447,0)</f>
        <v>1.9013623176352803</v>
      </c>
      <c r="N395" s="833">
        <f t="shared" si="20"/>
        <v>9073.6993365140188</v>
      </c>
    </row>
    <row r="396" spans="3:14">
      <c r="C396" s="836" t="s">
        <v>854</v>
      </c>
      <c r="D396" s="842" t="s">
        <v>1193</v>
      </c>
      <c r="E396" s="830" t="s">
        <v>1187</v>
      </c>
      <c r="F396" s="832">
        <v>44449</v>
      </c>
      <c r="G396" s="832">
        <v>44460</v>
      </c>
      <c r="H396" s="832">
        <v>44460</v>
      </c>
      <c r="I396" s="833">
        <v>5474.8</v>
      </c>
      <c r="J396" s="833">
        <v>4864.3599999999997</v>
      </c>
      <c r="K396" s="834" t="s">
        <v>705</v>
      </c>
      <c r="L396" s="810" t="str">
        <f t="shared" si="19"/>
        <v>9/2021</v>
      </c>
      <c r="M396" s="835">
        <f>_xlfn.XLOOKUP(L396,'Série Histórica IPCA'!$N$313:$N$447,'Série Histórica IPCA'!$J$313:$J$447,0)</f>
        <v>1.9013623176352803</v>
      </c>
      <c r="N396" s="833">
        <f t="shared" si="20"/>
        <v>2879.4091211447776</v>
      </c>
    </row>
    <row r="397" spans="3:14">
      <c r="C397" s="836" t="s">
        <v>854</v>
      </c>
      <c r="D397" s="842" t="s">
        <v>1194</v>
      </c>
      <c r="E397" s="830" t="s">
        <v>1187</v>
      </c>
      <c r="F397" s="832">
        <v>44449</v>
      </c>
      <c r="G397" s="832">
        <v>44460</v>
      </c>
      <c r="H397" s="832">
        <v>44460</v>
      </c>
      <c r="I397" s="833">
        <v>3290.5</v>
      </c>
      <c r="J397" s="833">
        <v>2923.59</v>
      </c>
      <c r="K397" s="834" t="s">
        <v>705</v>
      </c>
      <c r="L397" s="810" t="str">
        <f t="shared" si="19"/>
        <v>9/2021</v>
      </c>
      <c r="M397" s="835">
        <f>_xlfn.XLOOKUP(L397,'Série Histórica IPCA'!$N$313:$N$447,'Série Histórica IPCA'!$J$313:$J$447,0)</f>
        <v>1.9013623176352803</v>
      </c>
      <c r="N397" s="833">
        <f t="shared" si="20"/>
        <v>1730.601248105299</v>
      </c>
    </row>
    <row r="398" spans="3:14">
      <c r="C398" s="838" t="s">
        <v>854</v>
      </c>
      <c r="D398" s="810" t="s">
        <v>1195</v>
      </c>
      <c r="E398" s="838" t="s">
        <v>1196</v>
      </c>
      <c r="F398" s="827">
        <v>44480</v>
      </c>
      <c r="G398" s="827">
        <v>44497</v>
      </c>
      <c r="H398" s="827">
        <v>44497</v>
      </c>
      <c r="I398" s="828">
        <v>33048.22</v>
      </c>
      <c r="J398" s="828">
        <v>28906.63</v>
      </c>
      <c r="K398" s="829" t="s">
        <v>702</v>
      </c>
      <c r="L398" s="810" t="str">
        <f t="shared" si="19"/>
        <v>10/2021</v>
      </c>
      <c r="M398" s="835">
        <f>_xlfn.XLOOKUP(L398,'Série Histórica IPCA'!$N$313:$N$447,'Série Histórica IPCA'!$J$313:$J$447,0)</f>
        <v>1.9251285069523301</v>
      </c>
      <c r="N398" s="828">
        <f t="shared" si="20"/>
        <v>17166.760494507776</v>
      </c>
    </row>
    <row r="399" spans="3:14">
      <c r="C399" s="838" t="s">
        <v>854</v>
      </c>
      <c r="D399" s="810" t="s">
        <v>1197</v>
      </c>
      <c r="E399" s="838" t="s">
        <v>1196</v>
      </c>
      <c r="F399" s="827">
        <v>44480</v>
      </c>
      <c r="G399" s="827">
        <v>44497</v>
      </c>
      <c r="H399" s="827">
        <v>44497</v>
      </c>
      <c r="I399" s="828">
        <v>19862.810000000001</v>
      </c>
      <c r="J399" s="828">
        <v>17648.11</v>
      </c>
      <c r="K399" s="829" t="s">
        <v>702</v>
      </c>
      <c r="L399" s="810" t="str">
        <f t="shared" si="19"/>
        <v>10/2021</v>
      </c>
      <c r="M399" s="835">
        <f>_xlfn.XLOOKUP(L399,'Série Histórica IPCA'!$N$313:$N$447,'Série Histórica IPCA'!$J$313:$J$447,0)</f>
        <v>1.9251285069523301</v>
      </c>
      <c r="N399" s="828">
        <f t="shared" si="20"/>
        <v>10317.654082970703</v>
      </c>
    </row>
    <row r="400" spans="3:14">
      <c r="C400" s="838" t="s">
        <v>854</v>
      </c>
      <c r="D400" s="810" t="s">
        <v>1198</v>
      </c>
      <c r="E400" s="838" t="s">
        <v>1196</v>
      </c>
      <c r="F400" s="827">
        <v>44480</v>
      </c>
      <c r="G400" s="827">
        <v>44497</v>
      </c>
      <c r="H400" s="827">
        <v>44497</v>
      </c>
      <c r="I400" s="828">
        <v>6303.18</v>
      </c>
      <c r="J400" s="828">
        <v>5600.37</v>
      </c>
      <c r="K400" s="829" t="s">
        <v>702</v>
      </c>
      <c r="L400" s="810" t="str">
        <f t="shared" si="19"/>
        <v>10/2021</v>
      </c>
      <c r="M400" s="835">
        <f>_xlfn.XLOOKUP(L400,'Série Histórica IPCA'!$N$313:$N$447,'Série Histórica IPCA'!$J$313:$J$447,0)</f>
        <v>1.9251285069523301</v>
      </c>
      <c r="N400" s="828">
        <f t="shared" si="20"/>
        <v>3274.1606481006097</v>
      </c>
    </row>
    <row r="401" spans="3:14">
      <c r="C401" s="838" t="s">
        <v>854</v>
      </c>
      <c r="D401" s="810" t="s">
        <v>1199</v>
      </c>
      <c r="E401" s="838" t="s">
        <v>1196</v>
      </c>
      <c r="F401" s="827">
        <v>44480</v>
      </c>
      <c r="G401" s="827">
        <v>44497</v>
      </c>
      <c r="H401" s="827">
        <v>44497</v>
      </c>
      <c r="I401" s="828">
        <v>3788.38</v>
      </c>
      <c r="J401" s="828">
        <v>3365.98</v>
      </c>
      <c r="K401" s="829" t="s">
        <v>702</v>
      </c>
      <c r="L401" s="810" t="str">
        <f t="shared" si="19"/>
        <v>10/2021</v>
      </c>
      <c r="M401" s="835">
        <f>_xlfn.XLOOKUP(L401,'Série Histórica IPCA'!$N$313:$N$447,'Série Histórica IPCA'!$J$313:$J$447,0)</f>
        <v>1.9251285069523301</v>
      </c>
      <c r="N401" s="828">
        <f t="shared" si="20"/>
        <v>1967.8582423556661</v>
      </c>
    </row>
    <row r="402" spans="3:14">
      <c r="C402" s="836" t="s">
        <v>854</v>
      </c>
      <c r="D402" s="842" t="s">
        <v>1200</v>
      </c>
      <c r="E402" s="830" t="s">
        <v>1196</v>
      </c>
      <c r="F402" s="832">
        <v>44482</v>
      </c>
      <c r="G402" s="832">
        <v>44497</v>
      </c>
      <c r="H402" s="832">
        <v>44497</v>
      </c>
      <c r="I402" s="833">
        <v>22032.15</v>
      </c>
      <c r="J402" s="833">
        <v>19271.080000000002</v>
      </c>
      <c r="K402" s="834" t="s">
        <v>705</v>
      </c>
      <c r="L402" s="810" t="str">
        <f t="shared" si="19"/>
        <v>10/2021</v>
      </c>
      <c r="M402" s="835">
        <f>_xlfn.XLOOKUP(L402,'Série Histórica IPCA'!$N$313:$N$447,'Série Histórica IPCA'!$J$313:$J$447,0)</f>
        <v>1.9251285069523301</v>
      </c>
      <c r="N402" s="833">
        <f t="shared" si="20"/>
        <v>11444.508727824661</v>
      </c>
    </row>
    <row r="403" spans="3:14">
      <c r="C403" s="836" t="s">
        <v>854</v>
      </c>
      <c r="D403" s="842" t="s">
        <v>1201</v>
      </c>
      <c r="E403" s="830" t="s">
        <v>1196</v>
      </c>
      <c r="F403" s="832">
        <v>44482</v>
      </c>
      <c r="G403" s="832">
        <v>44497</v>
      </c>
      <c r="H403" s="832">
        <v>44497</v>
      </c>
      <c r="I403" s="833">
        <v>13241.87</v>
      </c>
      <c r="J403" s="833">
        <v>11765.4</v>
      </c>
      <c r="K403" s="834" t="s">
        <v>705</v>
      </c>
      <c r="L403" s="810" t="str">
        <f t="shared" si="19"/>
        <v>10/2021</v>
      </c>
      <c r="M403" s="835">
        <f>_xlfn.XLOOKUP(L403,'Série Histórica IPCA'!$N$313:$N$447,'Série Histórica IPCA'!$J$313:$J$447,0)</f>
        <v>1.9251285069523301</v>
      </c>
      <c r="N403" s="833">
        <f t="shared" si="20"/>
        <v>6878.4343238276588</v>
      </c>
    </row>
    <row r="404" spans="3:14">
      <c r="C404" s="836" t="s">
        <v>854</v>
      </c>
      <c r="D404" s="842" t="s">
        <v>1202</v>
      </c>
      <c r="E404" s="830" t="s">
        <v>1196</v>
      </c>
      <c r="F404" s="832">
        <v>44482</v>
      </c>
      <c r="G404" s="832">
        <v>44497</v>
      </c>
      <c r="H404" s="832">
        <v>44497</v>
      </c>
      <c r="I404" s="833">
        <v>4202.12</v>
      </c>
      <c r="J404" s="833">
        <v>3733.59</v>
      </c>
      <c r="K404" s="834" t="s">
        <v>705</v>
      </c>
      <c r="L404" s="810" t="str">
        <f t="shared" si="19"/>
        <v>10/2021</v>
      </c>
      <c r="M404" s="835">
        <f>_xlfn.XLOOKUP(L404,'Série Histórica IPCA'!$N$313:$N$447,'Série Histórica IPCA'!$J$313:$J$447,0)</f>
        <v>1.9251285069523301</v>
      </c>
      <c r="N404" s="833">
        <f t="shared" si="20"/>
        <v>2182.7737654004063</v>
      </c>
    </row>
    <row r="405" spans="3:14">
      <c r="C405" s="836" t="s">
        <v>854</v>
      </c>
      <c r="D405" s="842" t="s">
        <v>1203</v>
      </c>
      <c r="E405" s="830" t="s">
        <v>1196</v>
      </c>
      <c r="F405" s="832">
        <v>44482</v>
      </c>
      <c r="G405" s="832">
        <v>44497</v>
      </c>
      <c r="H405" s="832">
        <v>44497</v>
      </c>
      <c r="I405" s="833">
        <v>2525.58</v>
      </c>
      <c r="J405" s="833">
        <v>2243.9699999999998</v>
      </c>
      <c r="K405" s="834" t="s">
        <v>705</v>
      </c>
      <c r="L405" s="810" t="str">
        <f t="shared" si="19"/>
        <v>10/2021</v>
      </c>
      <c r="M405" s="835">
        <f>_xlfn.XLOOKUP(L405,'Série Histórica IPCA'!$N$313:$N$447,'Série Histórica IPCA'!$J$313:$J$447,0)</f>
        <v>1.9251285069523301</v>
      </c>
      <c r="N405" s="833">
        <f t="shared" si="20"/>
        <v>1311.9020319314914</v>
      </c>
    </row>
    <row r="406" spans="3:14">
      <c r="C406" s="830" t="s">
        <v>821</v>
      </c>
      <c r="D406" s="831" t="s">
        <v>1204</v>
      </c>
      <c r="E406" s="830" t="s">
        <v>1205</v>
      </c>
      <c r="F406" s="837">
        <v>44495</v>
      </c>
      <c r="G406" s="837">
        <v>44498</v>
      </c>
      <c r="H406" s="837">
        <v>44498</v>
      </c>
      <c r="I406" s="833">
        <v>92761.53</v>
      </c>
      <c r="J406" s="833">
        <v>90767.16</v>
      </c>
      <c r="K406" s="834" t="s">
        <v>1449</v>
      </c>
      <c r="L406" s="810" t="str">
        <f t="shared" si="19"/>
        <v>10/2021</v>
      </c>
      <c r="M406" s="835">
        <f>_xlfn.XLOOKUP(L406,'Série Histórica IPCA'!$N$313:$N$447,'Série Histórica IPCA'!$J$313:$J$447,0)</f>
        <v>1.9251285069523301</v>
      </c>
      <c r="N406" s="833">
        <f t="shared" si="20"/>
        <v>48184.591140282231</v>
      </c>
    </row>
    <row r="407" spans="3:14">
      <c r="C407" s="838" t="s">
        <v>854</v>
      </c>
      <c r="D407" s="810" t="s">
        <v>1206</v>
      </c>
      <c r="E407" s="838" t="s">
        <v>1207</v>
      </c>
      <c r="F407" s="827">
        <v>44508</v>
      </c>
      <c r="G407" s="827">
        <v>44517</v>
      </c>
      <c r="H407" s="827">
        <v>44517</v>
      </c>
      <c r="I407" s="828">
        <v>33451.03</v>
      </c>
      <c r="J407" s="828">
        <v>29258.95</v>
      </c>
      <c r="K407" s="829" t="s">
        <v>702</v>
      </c>
      <c r="L407" s="810" t="str">
        <f t="shared" si="19"/>
        <v>11/2021</v>
      </c>
      <c r="M407" s="835">
        <f>_xlfn.XLOOKUP(L407,'Série Histórica IPCA'!$N$313:$N$447,'Série Histórica IPCA'!$J$313:$J$447,0)</f>
        <v>1.9434185568197446</v>
      </c>
      <c r="N407" s="828">
        <f t="shared" si="20"/>
        <v>17212.468144144947</v>
      </c>
    </row>
    <row r="408" spans="3:14">
      <c r="C408" s="838" t="s">
        <v>854</v>
      </c>
      <c r="D408" s="810" t="s">
        <v>1208</v>
      </c>
      <c r="E408" s="838" t="s">
        <v>1207</v>
      </c>
      <c r="F408" s="827">
        <v>44508</v>
      </c>
      <c r="G408" s="827">
        <v>44517</v>
      </c>
      <c r="H408" s="827">
        <v>44517</v>
      </c>
      <c r="I408" s="828">
        <v>20104.900000000001</v>
      </c>
      <c r="J408" s="828">
        <v>17863.2</v>
      </c>
      <c r="K408" s="829" t="s">
        <v>702</v>
      </c>
      <c r="L408" s="810" t="str">
        <f t="shared" si="19"/>
        <v>11/2021</v>
      </c>
      <c r="M408" s="835">
        <f>_xlfn.XLOOKUP(L408,'Série Histórica IPCA'!$N$313:$N$447,'Série Histórica IPCA'!$J$313:$J$447,0)</f>
        <v>1.9434185568197446</v>
      </c>
      <c r="N408" s="828">
        <f t="shared" si="20"/>
        <v>10345.120936222884</v>
      </c>
    </row>
    <row r="409" spans="3:14">
      <c r="C409" s="838" t="s">
        <v>854</v>
      </c>
      <c r="D409" s="810" t="s">
        <v>1209</v>
      </c>
      <c r="E409" s="838" t="s">
        <v>1207</v>
      </c>
      <c r="F409" s="827">
        <v>44508</v>
      </c>
      <c r="G409" s="827">
        <v>44517</v>
      </c>
      <c r="H409" s="827">
        <v>44517</v>
      </c>
      <c r="I409" s="828">
        <v>6380.01</v>
      </c>
      <c r="J409" s="828">
        <v>5668.64</v>
      </c>
      <c r="K409" s="829" t="s">
        <v>702</v>
      </c>
      <c r="L409" s="810" t="str">
        <f t="shared" si="19"/>
        <v>11/2021</v>
      </c>
      <c r="M409" s="835">
        <f>_xlfn.XLOOKUP(L409,'Série Histórica IPCA'!$N$313:$N$447,'Série Histórica IPCA'!$J$313:$J$447,0)</f>
        <v>1.9434185568197446</v>
      </c>
      <c r="N409" s="828">
        <f t="shared" si="20"/>
        <v>3282.8800453775625</v>
      </c>
    </row>
    <row r="410" spans="3:14">
      <c r="C410" s="838" t="s">
        <v>854</v>
      </c>
      <c r="D410" s="810" t="s">
        <v>1210</v>
      </c>
      <c r="E410" s="838" t="s">
        <v>1207</v>
      </c>
      <c r="F410" s="827">
        <v>44508</v>
      </c>
      <c r="G410" s="827">
        <v>44517</v>
      </c>
      <c r="H410" s="827">
        <v>44517</v>
      </c>
      <c r="I410" s="828">
        <v>3834.55</v>
      </c>
      <c r="J410" s="828">
        <v>3406.99</v>
      </c>
      <c r="K410" s="829" t="s">
        <v>702</v>
      </c>
      <c r="L410" s="810" t="str">
        <f t="shared" si="19"/>
        <v>11/2021</v>
      </c>
      <c r="M410" s="835">
        <f>_xlfn.XLOOKUP(L410,'Série Histórica IPCA'!$N$313:$N$447,'Série Histórica IPCA'!$J$313:$J$447,0)</f>
        <v>1.9434185568197446</v>
      </c>
      <c r="N410" s="828">
        <f t="shared" si="20"/>
        <v>1973.0952895062128</v>
      </c>
    </row>
    <row r="411" spans="3:14">
      <c r="C411" s="836" t="s">
        <v>854</v>
      </c>
      <c r="D411" s="842" t="s">
        <v>1211</v>
      </c>
      <c r="E411" s="830" t="s">
        <v>1207</v>
      </c>
      <c r="F411" s="832">
        <v>44508</v>
      </c>
      <c r="G411" s="832">
        <v>44517</v>
      </c>
      <c r="H411" s="832">
        <v>44517</v>
      </c>
      <c r="I411" s="833">
        <v>22300.69</v>
      </c>
      <c r="J411" s="833">
        <v>19505.96</v>
      </c>
      <c r="K411" s="834" t="s">
        <v>705</v>
      </c>
      <c r="L411" s="810" t="str">
        <f t="shared" si="19"/>
        <v>11/2021</v>
      </c>
      <c r="M411" s="835">
        <f>_xlfn.XLOOKUP(L411,'Série Histórica IPCA'!$N$313:$N$447,'Série Histórica IPCA'!$J$313:$J$447,0)</f>
        <v>1.9434185568197446</v>
      </c>
      <c r="N411" s="833">
        <f t="shared" si="20"/>
        <v>11474.980477953945</v>
      </c>
    </row>
    <row r="412" spans="3:14">
      <c r="C412" s="836" t="s">
        <v>854</v>
      </c>
      <c r="D412" s="842" t="s">
        <v>1212</v>
      </c>
      <c r="E412" s="830" t="s">
        <v>1207</v>
      </c>
      <c r="F412" s="832">
        <v>44508</v>
      </c>
      <c r="G412" s="832">
        <v>44517</v>
      </c>
      <c r="H412" s="832">
        <v>44517</v>
      </c>
      <c r="I412" s="833">
        <v>13403.27</v>
      </c>
      <c r="J412" s="833">
        <v>11908.81</v>
      </c>
      <c r="K412" s="834" t="s">
        <v>705</v>
      </c>
      <c r="L412" s="810" t="str">
        <f t="shared" si="19"/>
        <v>11/2021</v>
      </c>
      <c r="M412" s="835">
        <f>_xlfn.XLOOKUP(L412,'Série Histórica IPCA'!$N$313:$N$447,'Série Histórica IPCA'!$J$313:$J$447,0)</f>
        <v>1.9434185568197446</v>
      </c>
      <c r="N412" s="833">
        <f t="shared" si="20"/>
        <v>6896.7490060059035</v>
      </c>
    </row>
    <row r="413" spans="3:14">
      <c r="C413" s="836" t="s">
        <v>854</v>
      </c>
      <c r="D413" s="842" t="s">
        <v>1213</v>
      </c>
      <c r="E413" s="830" t="s">
        <v>1207</v>
      </c>
      <c r="F413" s="832">
        <v>44508</v>
      </c>
      <c r="G413" s="832">
        <v>44517</v>
      </c>
      <c r="H413" s="832">
        <v>44517</v>
      </c>
      <c r="I413" s="833">
        <v>4253.34</v>
      </c>
      <c r="J413" s="833">
        <v>3779.09</v>
      </c>
      <c r="K413" s="834" t="s">
        <v>705</v>
      </c>
      <c r="L413" s="810" t="str">
        <f t="shared" si="19"/>
        <v>11/2021</v>
      </c>
      <c r="M413" s="835">
        <f>_xlfn.XLOOKUP(L413,'Série Histórica IPCA'!$N$313:$N$447,'Série Histórica IPCA'!$J$313:$J$447,0)</f>
        <v>1.9434185568197446</v>
      </c>
      <c r="N413" s="833">
        <f t="shared" si="20"/>
        <v>2188.5866969183749</v>
      </c>
    </row>
    <row r="414" spans="3:14">
      <c r="C414" s="836" t="s">
        <v>854</v>
      </c>
      <c r="D414" s="842" t="s">
        <v>1214</v>
      </c>
      <c r="E414" s="830" t="s">
        <v>1207</v>
      </c>
      <c r="F414" s="832">
        <v>44508</v>
      </c>
      <c r="G414" s="832">
        <v>44517</v>
      </c>
      <c r="H414" s="832">
        <v>44517</v>
      </c>
      <c r="I414" s="833">
        <v>2556.37</v>
      </c>
      <c r="J414" s="833">
        <v>2271.33</v>
      </c>
      <c r="K414" s="834" t="s">
        <v>705</v>
      </c>
      <c r="L414" s="810" t="str">
        <f t="shared" ref="L414:L477" si="21">MONTH(H414)&amp;"/"&amp;YEAR(H414)</f>
        <v>11/2021</v>
      </c>
      <c r="M414" s="835">
        <f>_xlfn.XLOOKUP(L414,'Série Histórica IPCA'!$N$313:$N$447,'Série Histórica IPCA'!$J$313:$J$447,0)</f>
        <v>1.9434185568197446</v>
      </c>
      <c r="N414" s="833">
        <f t="shared" ref="N414:N477" si="22">I414/M414</f>
        <v>1315.3985748614562</v>
      </c>
    </row>
    <row r="415" spans="3:14">
      <c r="C415" s="838" t="s">
        <v>821</v>
      </c>
      <c r="D415" s="826" t="s">
        <v>1215</v>
      </c>
      <c r="E415" s="838" t="s">
        <v>1216</v>
      </c>
      <c r="F415" s="827">
        <v>44543</v>
      </c>
      <c r="G415" s="827">
        <v>44558</v>
      </c>
      <c r="H415" s="827">
        <v>44558</v>
      </c>
      <c r="I415" s="828">
        <v>33048.22</v>
      </c>
      <c r="J415" s="828">
        <v>28906.63</v>
      </c>
      <c r="K415" s="829" t="s">
        <v>702</v>
      </c>
      <c r="L415" s="810" t="str">
        <f t="shared" si="21"/>
        <v>12/2021</v>
      </c>
      <c r="M415" s="835">
        <f>_xlfn.XLOOKUP(L415,'Série Histórica IPCA'!$N$313:$N$447,'Série Histórica IPCA'!$J$313:$J$447,0)</f>
        <v>1.9576047007795183</v>
      </c>
      <c r="N415" s="828">
        <f t="shared" si="22"/>
        <v>16881.968043313442</v>
      </c>
    </row>
    <row r="416" spans="3:14">
      <c r="C416" s="838" t="s">
        <v>821</v>
      </c>
      <c r="D416" s="826" t="s">
        <v>1217</v>
      </c>
      <c r="E416" s="838" t="s">
        <v>1218</v>
      </c>
      <c r="F416" s="827">
        <v>44543</v>
      </c>
      <c r="G416" s="827">
        <v>44558</v>
      </c>
      <c r="H416" s="827">
        <v>44558</v>
      </c>
      <c r="I416" s="828">
        <v>19862.810000000001</v>
      </c>
      <c r="J416" s="828">
        <v>17648.11</v>
      </c>
      <c r="K416" s="829" t="s">
        <v>702</v>
      </c>
      <c r="L416" s="810" t="str">
        <f t="shared" si="21"/>
        <v>12/2021</v>
      </c>
      <c r="M416" s="835">
        <f>_xlfn.XLOOKUP(L416,'Série Histórica IPCA'!$N$313:$N$447,'Série Histórica IPCA'!$J$313:$J$447,0)</f>
        <v>1.9576047007795183</v>
      </c>
      <c r="N416" s="828">
        <f t="shared" si="22"/>
        <v>10146.486669188436</v>
      </c>
    </row>
    <row r="417" spans="3:14">
      <c r="C417" s="838" t="s">
        <v>821</v>
      </c>
      <c r="D417" s="826" t="s">
        <v>1219</v>
      </c>
      <c r="E417" s="838" t="s">
        <v>1218</v>
      </c>
      <c r="F417" s="827">
        <v>44543</v>
      </c>
      <c r="G417" s="827">
        <v>44558</v>
      </c>
      <c r="H417" s="827">
        <v>44558</v>
      </c>
      <c r="I417" s="828">
        <v>6303.18</v>
      </c>
      <c r="J417" s="828">
        <v>5600.37</v>
      </c>
      <c r="K417" s="829" t="s">
        <v>702</v>
      </c>
      <c r="L417" s="810" t="str">
        <f t="shared" si="21"/>
        <v>12/2021</v>
      </c>
      <c r="M417" s="835">
        <f>_xlfn.XLOOKUP(L417,'Série Histórica IPCA'!$N$313:$N$447,'Série Histórica IPCA'!$J$313:$J$447,0)</f>
        <v>1.9576047007795183</v>
      </c>
      <c r="N417" s="828">
        <f t="shared" si="22"/>
        <v>3219.8431059600916</v>
      </c>
    </row>
    <row r="418" spans="3:14">
      <c r="C418" s="838" t="s">
        <v>821</v>
      </c>
      <c r="D418" s="826" t="s">
        <v>1220</v>
      </c>
      <c r="E418" s="838" t="s">
        <v>1218</v>
      </c>
      <c r="F418" s="827">
        <v>44543</v>
      </c>
      <c r="G418" s="827">
        <v>44558</v>
      </c>
      <c r="H418" s="827">
        <v>44558</v>
      </c>
      <c r="I418" s="828">
        <v>3788.38</v>
      </c>
      <c r="J418" s="828">
        <v>3365.97</v>
      </c>
      <c r="K418" s="829" t="s">
        <v>702</v>
      </c>
      <c r="L418" s="810" t="str">
        <f t="shared" si="21"/>
        <v>12/2021</v>
      </c>
      <c r="M418" s="835">
        <f>_xlfn.XLOOKUP(L418,'Série Histórica IPCA'!$N$313:$N$447,'Série Histórica IPCA'!$J$313:$J$447,0)</f>
        <v>1.9576047007795183</v>
      </c>
      <c r="N418" s="828">
        <f t="shared" si="22"/>
        <v>1935.2119447258515</v>
      </c>
    </row>
    <row r="419" spans="3:14">
      <c r="C419" s="830" t="s">
        <v>821</v>
      </c>
      <c r="D419" s="831" t="s">
        <v>1221</v>
      </c>
      <c r="E419" s="830" t="s">
        <v>1218</v>
      </c>
      <c r="F419" s="832">
        <v>44543</v>
      </c>
      <c r="G419" s="832">
        <v>44558</v>
      </c>
      <c r="H419" s="832">
        <v>44558</v>
      </c>
      <c r="I419" s="833">
        <v>22032.15</v>
      </c>
      <c r="J419" s="833">
        <v>19271.080000000002</v>
      </c>
      <c r="K419" s="834" t="s">
        <v>705</v>
      </c>
      <c r="L419" s="810" t="str">
        <f t="shared" si="21"/>
        <v>12/2021</v>
      </c>
      <c r="M419" s="835">
        <f>_xlfn.XLOOKUP(L419,'Série Histórica IPCA'!$N$313:$N$447,'Série Histórica IPCA'!$J$313:$J$447,0)</f>
        <v>1.9576047007795183</v>
      </c>
      <c r="N419" s="833">
        <f t="shared" si="22"/>
        <v>11254.647064970164</v>
      </c>
    </row>
    <row r="420" spans="3:14">
      <c r="C420" s="830" t="s">
        <v>821</v>
      </c>
      <c r="D420" s="831" t="s">
        <v>1222</v>
      </c>
      <c r="E420" s="830" t="s">
        <v>1218</v>
      </c>
      <c r="F420" s="832">
        <v>44543</v>
      </c>
      <c r="G420" s="832">
        <v>44558</v>
      </c>
      <c r="H420" s="832">
        <v>44558</v>
      </c>
      <c r="I420" s="833">
        <v>13241.87</v>
      </c>
      <c r="J420" s="833">
        <v>11765.4</v>
      </c>
      <c r="K420" s="834" t="s">
        <v>705</v>
      </c>
      <c r="L420" s="810" t="str">
        <f t="shared" si="21"/>
        <v>12/2021</v>
      </c>
      <c r="M420" s="835">
        <f>_xlfn.XLOOKUP(L420,'Série Histórica IPCA'!$N$313:$N$447,'Série Histórica IPCA'!$J$313:$J$447,0)</f>
        <v>1.9576047007795183</v>
      </c>
      <c r="N420" s="833">
        <f t="shared" si="22"/>
        <v>6764.3227433644224</v>
      </c>
    </row>
    <row r="421" spans="3:14">
      <c r="C421" s="830" t="s">
        <v>821</v>
      </c>
      <c r="D421" s="831" t="s">
        <v>1223</v>
      </c>
      <c r="E421" s="830" t="s">
        <v>1218</v>
      </c>
      <c r="F421" s="832">
        <v>44543</v>
      </c>
      <c r="G421" s="832">
        <v>44558</v>
      </c>
      <c r="H421" s="832">
        <v>44558</v>
      </c>
      <c r="I421" s="833">
        <v>4202.12</v>
      </c>
      <c r="J421" s="833">
        <v>3733.59</v>
      </c>
      <c r="K421" s="834" t="s">
        <v>705</v>
      </c>
      <c r="L421" s="810" t="str">
        <f t="shared" si="21"/>
        <v>12/2021</v>
      </c>
      <c r="M421" s="835">
        <f>_xlfn.XLOOKUP(L421,'Série Histórica IPCA'!$N$313:$N$447,'Série Histórica IPCA'!$J$313:$J$447,0)</f>
        <v>1.9576047007795183</v>
      </c>
      <c r="N421" s="833">
        <f t="shared" si="22"/>
        <v>2146.5620706400609</v>
      </c>
    </row>
    <row r="422" spans="3:14">
      <c r="C422" s="830" t="s">
        <v>821</v>
      </c>
      <c r="D422" s="831" t="s">
        <v>1224</v>
      </c>
      <c r="E422" s="830" t="s">
        <v>1218</v>
      </c>
      <c r="F422" s="832">
        <v>44543</v>
      </c>
      <c r="G422" s="832">
        <v>44558</v>
      </c>
      <c r="H422" s="832">
        <v>44558</v>
      </c>
      <c r="I422" s="833">
        <v>2525.58</v>
      </c>
      <c r="J422" s="833">
        <v>2243.9699999999998</v>
      </c>
      <c r="K422" s="834" t="s">
        <v>705</v>
      </c>
      <c r="L422" s="810" t="str">
        <f t="shared" si="21"/>
        <v>12/2021</v>
      </c>
      <c r="M422" s="835">
        <f>_xlfn.XLOOKUP(L422,'Série Histórica IPCA'!$N$313:$N$447,'Série Histórica IPCA'!$J$313:$J$447,0)</f>
        <v>1.9576047007795183</v>
      </c>
      <c r="N422" s="833">
        <f t="shared" si="22"/>
        <v>1290.1378909614969</v>
      </c>
    </row>
    <row r="423" spans="3:14">
      <c r="C423" s="830" t="s">
        <v>821</v>
      </c>
      <c r="D423" s="831" t="s">
        <v>1225</v>
      </c>
      <c r="E423" s="830" t="s">
        <v>1226</v>
      </c>
      <c r="F423" s="837">
        <v>44550</v>
      </c>
      <c r="G423" s="837">
        <v>44558</v>
      </c>
      <c r="H423" s="837">
        <v>44558</v>
      </c>
      <c r="I423" s="833">
        <v>7877.26</v>
      </c>
      <c r="J423" s="833">
        <v>7707.9</v>
      </c>
      <c r="K423" s="834" t="s">
        <v>1449</v>
      </c>
      <c r="L423" s="810" t="str">
        <f t="shared" si="21"/>
        <v>12/2021</v>
      </c>
      <c r="M423" s="835">
        <f>_xlfn.XLOOKUP(L423,'Série Histórica IPCA'!$N$313:$N$447,'Série Histórica IPCA'!$J$313:$J$447,0)</f>
        <v>1.9576047007795183</v>
      </c>
      <c r="N423" s="833">
        <f t="shared" si="22"/>
        <v>4023.9278118116872</v>
      </c>
    </row>
    <row r="424" spans="3:14">
      <c r="C424" s="838" t="s">
        <v>854</v>
      </c>
      <c r="D424" s="810" t="s">
        <v>1227</v>
      </c>
      <c r="E424" s="838" t="s">
        <v>1228</v>
      </c>
      <c r="F424" s="827">
        <v>44568</v>
      </c>
      <c r="G424" s="827">
        <v>44600</v>
      </c>
      <c r="H424" s="827">
        <v>44600</v>
      </c>
      <c r="I424" s="828">
        <v>64692.81</v>
      </c>
      <c r="J424" s="828">
        <v>55835.61</v>
      </c>
      <c r="K424" s="829" t="s">
        <v>702</v>
      </c>
      <c r="L424" s="810" t="str">
        <f t="shared" si="21"/>
        <v>2/2022</v>
      </c>
      <c r="M424" s="835">
        <f>_xlfn.XLOOKUP(L424,'Série Histórica IPCA'!$N$313:$N$447,'Série Histórica IPCA'!$J$313:$J$447,0)</f>
        <v>1.9880561304293587</v>
      </c>
      <c r="N424" s="828">
        <f t="shared" si="22"/>
        <v>32540.736154179081</v>
      </c>
    </row>
    <row r="425" spans="3:14">
      <c r="C425" s="838" t="s">
        <v>854</v>
      </c>
      <c r="D425" s="810" t="s">
        <v>1229</v>
      </c>
      <c r="E425" s="838" t="s">
        <v>1228</v>
      </c>
      <c r="F425" s="827">
        <v>44568</v>
      </c>
      <c r="G425" s="827">
        <v>44600</v>
      </c>
      <c r="H425" s="827">
        <v>44600</v>
      </c>
      <c r="I425" s="828">
        <v>38881.980000000003</v>
      </c>
      <c r="J425" s="828">
        <v>34546.639999999999</v>
      </c>
      <c r="K425" s="829" t="s">
        <v>702</v>
      </c>
      <c r="L425" s="810" t="str">
        <f t="shared" si="21"/>
        <v>2/2022</v>
      </c>
      <c r="M425" s="835">
        <f>_xlfn.XLOOKUP(L425,'Série Histórica IPCA'!$N$313:$N$447,'Série Histórica IPCA'!$J$313:$J$447,0)</f>
        <v>1.9880561304293587</v>
      </c>
      <c r="N425" s="828">
        <f t="shared" si="22"/>
        <v>19557.787833486724</v>
      </c>
    </row>
    <row r="426" spans="3:14">
      <c r="C426" s="838" t="s">
        <v>854</v>
      </c>
      <c r="D426" s="810" t="s">
        <v>1230</v>
      </c>
      <c r="E426" s="838" t="s">
        <v>1228</v>
      </c>
      <c r="F426" s="827">
        <v>44568</v>
      </c>
      <c r="G426" s="827">
        <v>44600</v>
      </c>
      <c r="H426" s="827">
        <v>44600</v>
      </c>
      <c r="I426" s="828">
        <v>12338.66</v>
      </c>
      <c r="J426" s="828">
        <v>10962.9</v>
      </c>
      <c r="K426" s="829" t="s">
        <v>702</v>
      </c>
      <c r="L426" s="810" t="str">
        <f t="shared" si="21"/>
        <v>2/2022</v>
      </c>
      <c r="M426" s="835">
        <f>_xlfn.XLOOKUP(L426,'Série Histórica IPCA'!$N$313:$N$447,'Série Histórica IPCA'!$J$313:$J$447,0)</f>
        <v>1.9880561304293587</v>
      </c>
      <c r="N426" s="828">
        <f t="shared" si="22"/>
        <v>6206.3941813027332</v>
      </c>
    </row>
    <row r="427" spans="3:14">
      <c r="C427" s="838" t="s">
        <v>854</v>
      </c>
      <c r="D427" s="810" t="s">
        <v>1231</v>
      </c>
      <c r="E427" s="838" t="s">
        <v>1228</v>
      </c>
      <c r="F427" s="827">
        <v>44568</v>
      </c>
      <c r="G427" s="827">
        <v>44600</v>
      </c>
      <c r="H427" s="827">
        <v>44600</v>
      </c>
      <c r="I427" s="828">
        <v>7415.84</v>
      </c>
      <c r="J427" s="828">
        <v>6588.98</v>
      </c>
      <c r="K427" s="829" t="s">
        <v>702</v>
      </c>
      <c r="L427" s="810" t="str">
        <f t="shared" si="21"/>
        <v>2/2022</v>
      </c>
      <c r="M427" s="835">
        <f>_xlfn.XLOOKUP(L427,'Série Histórica IPCA'!$N$313:$N$447,'Série Histórica IPCA'!$J$313:$J$447,0)</f>
        <v>1.9880561304293587</v>
      </c>
      <c r="N427" s="828">
        <f t="shared" si="22"/>
        <v>3730.1964901757619</v>
      </c>
    </row>
    <row r="428" spans="3:14">
      <c r="C428" s="836" t="s">
        <v>854</v>
      </c>
      <c r="D428" s="842" t="s">
        <v>1232</v>
      </c>
      <c r="E428" s="830" t="s">
        <v>1228</v>
      </c>
      <c r="F428" s="832">
        <v>44568</v>
      </c>
      <c r="G428" s="832">
        <v>44600</v>
      </c>
      <c r="H428" s="832">
        <v>44600</v>
      </c>
      <c r="I428" s="833">
        <v>43128.54</v>
      </c>
      <c r="J428" s="833">
        <v>37146.89</v>
      </c>
      <c r="K428" s="834" t="s">
        <v>705</v>
      </c>
      <c r="L428" s="810" t="str">
        <f t="shared" si="21"/>
        <v>2/2022</v>
      </c>
      <c r="M428" s="835">
        <f>_xlfn.XLOOKUP(L428,'Série Histórica IPCA'!$N$313:$N$447,'Série Histórica IPCA'!$J$313:$J$447,0)</f>
        <v>1.9880561304293587</v>
      </c>
      <c r="N428" s="833">
        <f t="shared" si="22"/>
        <v>21693.824102786057</v>
      </c>
    </row>
    <row r="429" spans="3:14">
      <c r="C429" s="836" t="s">
        <v>854</v>
      </c>
      <c r="D429" s="842" t="s">
        <v>1233</v>
      </c>
      <c r="E429" s="830" t="s">
        <v>1228</v>
      </c>
      <c r="F429" s="832">
        <v>44568</v>
      </c>
      <c r="G429" s="832">
        <v>44600</v>
      </c>
      <c r="H429" s="832">
        <v>44600</v>
      </c>
      <c r="I429" s="833">
        <v>8225.77</v>
      </c>
      <c r="J429" s="833">
        <v>7308.59</v>
      </c>
      <c r="K429" s="834" t="s">
        <v>705</v>
      </c>
      <c r="L429" s="810" t="str">
        <f t="shared" si="21"/>
        <v>2/2022</v>
      </c>
      <c r="M429" s="835">
        <f>_xlfn.XLOOKUP(L429,'Série Histórica IPCA'!$N$313:$N$447,'Série Histórica IPCA'!$J$313:$J$447,0)</f>
        <v>1.9880561304293587</v>
      </c>
      <c r="N429" s="833">
        <f t="shared" si="22"/>
        <v>4137.5944441888005</v>
      </c>
    </row>
    <row r="430" spans="3:14">
      <c r="C430" s="836" t="s">
        <v>854</v>
      </c>
      <c r="D430" s="842" t="s">
        <v>1234</v>
      </c>
      <c r="E430" s="830" t="s">
        <v>1228</v>
      </c>
      <c r="F430" s="832">
        <v>44568</v>
      </c>
      <c r="G430" s="832">
        <v>44600</v>
      </c>
      <c r="H430" s="832">
        <v>44600</v>
      </c>
      <c r="I430" s="833">
        <v>25921.32</v>
      </c>
      <c r="J430" s="833">
        <v>23031.09</v>
      </c>
      <c r="K430" s="834" t="s">
        <v>705</v>
      </c>
      <c r="L430" s="810" t="str">
        <f t="shared" si="21"/>
        <v>2/2022</v>
      </c>
      <c r="M430" s="835">
        <f>_xlfn.XLOOKUP(L430,'Série Histórica IPCA'!$N$313:$N$447,'Série Histórica IPCA'!$J$313:$J$447,0)</f>
        <v>1.9880561304293587</v>
      </c>
      <c r="N430" s="833">
        <f t="shared" si="22"/>
        <v>13038.525222324481</v>
      </c>
    </row>
    <row r="431" spans="3:14">
      <c r="C431" s="836" t="s">
        <v>854</v>
      </c>
      <c r="D431" s="842" t="s">
        <v>1235</v>
      </c>
      <c r="E431" s="830" t="s">
        <v>1236</v>
      </c>
      <c r="F431" s="832">
        <v>44568</v>
      </c>
      <c r="G431" s="832">
        <v>44600</v>
      </c>
      <c r="H431" s="832">
        <v>44600</v>
      </c>
      <c r="I431" s="833">
        <v>4943.8999999999996</v>
      </c>
      <c r="J431" s="833">
        <v>4392.6400000000003</v>
      </c>
      <c r="K431" s="834" t="s">
        <v>705</v>
      </c>
      <c r="L431" s="810" t="str">
        <f t="shared" si="21"/>
        <v>2/2022</v>
      </c>
      <c r="M431" s="835">
        <f>_xlfn.XLOOKUP(L431,'Série Histórica IPCA'!$N$313:$N$447,'Série Histórica IPCA'!$J$313:$J$447,0)</f>
        <v>1.9880561304293587</v>
      </c>
      <c r="N431" s="833">
        <f t="shared" si="22"/>
        <v>2486.8010134765509</v>
      </c>
    </row>
    <row r="432" spans="3:14">
      <c r="C432" s="838" t="s">
        <v>854</v>
      </c>
      <c r="D432" s="810" t="s">
        <v>1237</v>
      </c>
      <c r="E432" s="838" t="s">
        <v>1238</v>
      </c>
      <c r="F432" s="827">
        <v>44599</v>
      </c>
      <c r="G432" s="827">
        <v>44607</v>
      </c>
      <c r="H432" s="827">
        <v>44607</v>
      </c>
      <c r="I432" s="828">
        <v>33451.03</v>
      </c>
      <c r="J432" s="828">
        <v>29373.66</v>
      </c>
      <c r="K432" s="829" t="s">
        <v>702</v>
      </c>
      <c r="L432" s="810" t="str">
        <f t="shared" si="21"/>
        <v>2/2022</v>
      </c>
      <c r="M432" s="835">
        <f>_xlfn.XLOOKUP(L432,'Série Histórica IPCA'!$N$313:$N$447,'Série Histórica IPCA'!$J$313:$J$447,0)</f>
        <v>1.9880561304293587</v>
      </c>
      <c r="N432" s="828">
        <f t="shared" si="22"/>
        <v>16825.998767336419</v>
      </c>
    </row>
    <row r="433" spans="3:14">
      <c r="C433" s="838" t="s">
        <v>854</v>
      </c>
      <c r="D433" s="810" t="s">
        <v>1239</v>
      </c>
      <c r="E433" s="838" t="s">
        <v>1238</v>
      </c>
      <c r="F433" s="827">
        <v>44599</v>
      </c>
      <c r="G433" s="827">
        <v>44607</v>
      </c>
      <c r="H433" s="827">
        <v>44607</v>
      </c>
      <c r="I433" s="828">
        <v>20104.900000000001</v>
      </c>
      <c r="J433" s="828">
        <v>17863.2</v>
      </c>
      <c r="K433" s="829" t="s">
        <v>702</v>
      </c>
      <c r="L433" s="810" t="str">
        <f t="shared" si="21"/>
        <v>2/2022</v>
      </c>
      <c r="M433" s="835">
        <f>_xlfn.XLOOKUP(L433,'Série Histórica IPCA'!$N$313:$N$447,'Série Histórica IPCA'!$J$313:$J$447,0)</f>
        <v>1.9880561304293587</v>
      </c>
      <c r="N433" s="828">
        <f t="shared" si="22"/>
        <v>10112.843240325396</v>
      </c>
    </row>
    <row r="434" spans="3:14">
      <c r="C434" s="838" t="s">
        <v>854</v>
      </c>
      <c r="D434" s="810" t="s">
        <v>1240</v>
      </c>
      <c r="E434" s="838" t="s">
        <v>1238</v>
      </c>
      <c r="F434" s="827">
        <v>44599</v>
      </c>
      <c r="G434" s="827">
        <v>44607</v>
      </c>
      <c r="H434" s="827">
        <v>44607</v>
      </c>
      <c r="I434" s="828">
        <v>6380.01</v>
      </c>
      <c r="J434" s="828">
        <v>5668.64</v>
      </c>
      <c r="K434" s="829" t="s">
        <v>702</v>
      </c>
      <c r="L434" s="810" t="str">
        <f t="shared" si="21"/>
        <v>2/2022</v>
      </c>
      <c r="M434" s="835">
        <f>_xlfn.XLOOKUP(L434,'Série Histórica IPCA'!$N$313:$N$447,'Série Histórica IPCA'!$J$313:$J$447,0)</f>
        <v>1.9880561304293587</v>
      </c>
      <c r="N434" s="828">
        <f t="shared" si="22"/>
        <v>3209.1699536783781</v>
      </c>
    </row>
    <row r="435" spans="3:14">
      <c r="C435" s="838" t="s">
        <v>854</v>
      </c>
      <c r="D435" s="810" t="s">
        <v>1241</v>
      </c>
      <c r="E435" s="838" t="s">
        <v>1238</v>
      </c>
      <c r="F435" s="827">
        <v>44599</v>
      </c>
      <c r="G435" s="827">
        <v>44607</v>
      </c>
      <c r="H435" s="827">
        <v>44607</v>
      </c>
      <c r="I435" s="828">
        <v>3834.55</v>
      </c>
      <c r="J435" s="828">
        <v>3406.99</v>
      </c>
      <c r="K435" s="829" t="s">
        <v>702</v>
      </c>
      <c r="L435" s="810" t="str">
        <f t="shared" si="21"/>
        <v>2/2022</v>
      </c>
      <c r="M435" s="835">
        <f>_xlfn.XLOOKUP(L435,'Série Histórica IPCA'!$N$313:$N$447,'Série Histórica IPCA'!$J$313:$J$447,0)</f>
        <v>1.9880561304293587</v>
      </c>
      <c r="N435" s="828">
        <f t="shared" si="22"/>
        <v>1928.7936297713363</v>
      </c>
    </row>
    <row r="436" spans="3:14">
      <c r="C436" s="836" t="s">
        <v>854</v>
      </c>
      <c r="D436" s="842" t="s">
        <v>1242</v>
      </c>
      <c r="E436" s="830" t="s">
        <v>1243</v>
      </c>
      <c r="F436" s="832">
        <v>44599</v>
      </c>
      <c r="G436" s="832">
        <v>44607</v>
      </c>
      <c r="H436" s="832">
        <v>44607</v>
      </c>
      <c r="I436" s="833">
        <v>22300.69</v>
      </c>
      <c r="J436" s="833">
        <v>19582.45</v>
      </c>
      <c r="K436" s="834" t="s">
        <v>705</v>
      </c>
      <c r="L436" s="810" t="str">
        <f t="shared" si="21"/>
        <v>2/2022</v>
      </c>
      <c r="M436" s="835">
        <f>_xlfn.XLOOKUP(L436,'Série Histórica IPCA'!$N$313:$N$447,'Série Histórica IPCA'!$J$313:$J$447,0)</f>
        <v>1.9880561304293587</v>
      </c>
      <c r="N436" s="833">
        <f t="shared" si="22"/>
        <v>11217.334188237301</v>
      </c>
    </row>
    <row r="437" spans="3:14">
      <c r="C437" s="836" t="s">
        <v>854</v>
      </c>
      <c r="D437" s="842" t="s">
        <v>1244</v>
      </c>
      <c r="E437" s="830" t="s">
        <v>1243</v>
      </c>
      <c r="F437" s="832">
        <v>44599</v>
      </c>
      <c r="G437" s="832">
        <v>44607</v>
      </c>
      <c r="H437" s="832">
        <v>44607</v>
      </c>
      <c r="I437" s="833">
        <v>13403.27</v>
      </c>
      <c r="J437" s="833">
        <v>11908.81</v>
      </c>
      <c r="K437" s="834" t="s">
        <v>705</v>
      </c>
      <c r="L437" s="810" t="str">
        <f t="shared" si="21"/>
        <v>2/2022</v>
      </c>
      <c r="M437" s="835">
        <f>_xlfn.XLOOKUP(L437,'Série Histórica IPCA'!$N$313:$N$447,'Série Histórica IPCA'!$J$313:$J$447,0)</f>
        <v>1.9880561304293587</v>
      </c>
      <c r="N437" s="833">
        <f t="shared" si="22"/>
        <v>6741.8971702299514</v>
      </c>
    </row>
    <row r="438" spans="3:14">
      <c r="C438" s="836" t="s">
        <v>854</v>
      </c>
      <c r="D438" s="842" t="s">
        <v>1245</v>
      </c>
      <c r="E438" s="830" t="s">
        <v>1243</v>
      </c>
      <c r="F438" s="832">
        <v>44599</v>
      </c>
      <c r="G438" s="832">
        <v>44607</v>
      </c>
      <c r="H438" s="832">
        <v>44607</v>
      </c>
      <c r="I438" s="833">
        <v>4253.34</v>
      </c>
      <c r="J438" s="833">
        <v>3779.09</v>
      </c>
      <c r="K438" s="834" t="s">
        <v>705</v>
      </c>
      <c r="L438" s="810" t="str">
        <f t="shared" si="21"/>
        <v>2/2022</v>
      </c>
      <c r="M438" s="835">
        <f>_xlfn.XLOOKUP(L438,'Série Histórica IPCA'!$N$313:$N$447,'Série Histórica IPCA'!$J$313:$J$447,0)</f>
        <v>1.9880561304293587</v>
      </c>
      <c r="N438" s="833">
        <f t="shared" si="22"/>
        <v>2139.4466357855854</v>
      </c>
    </row>
    <row r="439" spans="3:14">
      <c r="C439" s="836" t="s">
        <v>854</v>
      </c>
      <c r="D439" s="842" t="s">
        <v>1246</v>
      </c>
      <c r="E439" s="830" t="s">
        <v>1243</v>
      </c>
      <c r="F439" s="832">
        <v>44599</v>
      </c>
      <c r="G439" s="832">
        <v>44607</v>
      </c>
      <c r="H439" s="832">
        <v>44607</v>
      </c>
      <c r="I439" s="833">
        <v>2556.37</v>
      </c>
      <c r="J439" s="833">
        <v>2271.33</v>
      </c>
      <c r="K439" s="834" t="s">
        <v>705</v>
      </c>
      <c r="L439" s="810" t="str">
        <f t="shared" si="21"/>
        <v>2/2022</v>
      </c>
      <c r="M439" s="835">
        <f>_xlfn.XLOOKUP(L439,'Série Histórica IPCA'!$N$313:$N$447,'Série Histórica IPCA'!$J$313:$J$447,0)</f>
        <v>1.9880561304293587</v>
      </c>
      <c r="N439" s="833">
        <f t="shared" si="22"/>
        <v>1285.8640965272459</v>
      </c>
    </row>
    <row r="440" spans="3:14">
      <c r="C440" s="838" t="s">
        <v>854</v>
      </c>
      <c r="D440" s="810" t="s">
        <v>1247</v>
      </c>
      <c r="E440" s="838" t="s">
        <v>1248</v>
      </c>
      <c r="F440" s="827">
        <v>44624</v>
      </c>
      <c r="G440" s="827">
        <v>44634</v>
      </c>
      <c r="H440" s="827">
        <v>44634</v>
      </c>
      <c r="I440" s="828">
        <v>48790.239999999998</v>
      </c>
      <c r="J440" s="828">
        <v>42852.76</v>
      </c>
      <c r="K440" s="829" t="s">
        <v>702</v>
      </c>
      <c r="L440" s="810" t="str">
        <f t="shared" si="21"/>
        <v>3/2022</v>
      </c>
      <c r="M440" s="835">
        <f>_xlfn.XLOOKUP(L440,'Série Histórica IPCA'!$N$313:$N$447,'Série Histórica IPCA'!$J$313:$J$447,0)</f>
        <v>2.0202636351714012</v>
      </c>
      <c r="N440" s="828">
        <f t="shared" si="22"/>
        <v>24150.432226069635</v>
      </c>
    </row>
    <row r="441" spans="3:14">
      <c r="C441" s="838" t="s">
        <v>854</v>
      </c>
      <c r="D441" s="810" t="s">
        <v>1249</v>
      </c>
      <c r="E441" s="838" t="s">
        <v>1248</v>
      </c>
      <c r="F441" s="827">
        <v>44624</v>
      </c>
      <c r="G441" s="827">
        <v>44634</v>
      </c>
      <c r="H441" s="827">
        <v>44634</v>
      </c>
      <c r="I441" s="828">
        <v>29324.14</v>
      </c>
      <c r="J441" s="828">
        <v>26054.5</v>
      </c>
      <c r="K441" s="829" t="s">
        <v>702</v>
      </c>
      <c r="L441" s="810" t="str">
        <f t="shared" si="21"/>
        <v>3/2022</v>
      </c>
      <c r="M441" s="835">
        <f>_xlfn.XLOOKUP(L441,'Série Histórica IPCA'!$N$313:$N$447,'Série Histórica IPCA'!$J$313:$J$447,0)</f>
        <v>2.0202636351714012</v>
      </c>
      <c r="N441" s="828">
        <f t="shared" si="22"/>
        <v>14515.006600864797</v>
      </c>
    </row>
    <row r="442" spans="3:14">
      <c r="C442" s="838" t="s">
        <v>854</v>
      </c>
      <c r="D442" s="810" t="s">
        <v>1250</v>
      </c>
      <c r="E442" s="838" t="s">
        <v>1248</v>
      </c>
      <c r="F442" s="827">
        <v>44624</v>
      </c>
      <c r="G442" s="827">
        <v>44634</v>
      </c>
      <c r="H442" s="827">
        <v>44634</v>
      </c>
      <c r="I442" s="828">
        <v>9305.61</v>
      </c>
      <c r="J442" s="828">
        <v>8268.0300000000007</v>
      </c>
      <c r="K442" s="829" t="s">
        <v>702</v>
      </c>
      <c r="L442" s="810" t="str">
        <f t="shared" si="21"/>
        <v>3/2022</v>
      </c>
      <c r="M442" s="835">
        <f>_xlfn.XLOOKUP(L442,'Série Histórica IPCA'!$N$313:$N$447,'Série Histórica IPCA'!$J$313:$J$447,0)</f>
        <v>2.0202636351714012</v>
      </c>
      <c r="N442" s="828">
        <f t="shared" si="22"/>
        <v>4606.136465556142</v>
      </c>
    </row>
    <row r="443" spans="3:14">
      <c r="C443" s="838" t="s">
        <v>854</v>
      </c>
      <c r="D443" s="810" t="s">
        <v>1251</v>
      </c>
      <c r="E443" s="838" t="s">
        <v>1248</v>
      </c>
      <c r="F443" s="827">
        <v>44624</v>
      </c>
      <c r="G443" s="827">
        <v>44634</v>
      </c>
      <c r="H443" s="827">
        <v>44634</v>
      </c>
      <c r="I443" s="828">
        <v>5592.91</v>
      </c>
      <c r="J443" s="828">
        <v>4969.3</v>
      </c>
      <c r="K443" s="829" t="s">
        <v>702</v>
      </c>
      <c r="L443" s="810" t="str">
        <f t="shared" si="21"/>
        <v>3/2022</v>
      </c>
      <c r="M443" s="835">
        <f>_xlfn.XLOOKUP(L443,'Série Histórica IPCA'!$N$313:$N$447,'Série Histórica IPCA'!$J$313:$J$447,0)</f>
        <v>2.0202636351714012</v>
      </c>
      <c r="N443" s="828">
        <f t="shared" si="22"/>
        <v>2768.4060152503275</v>
      </c>
    </row>
    <row r="444" spans="3:14">
      <c r="C444" s="836" t="s">
        <v>854</v>
      </c>
      <c r="D444" s="842" t="s">
        <v>1252</v>
      </c>
      <c r="E444" s="830" t="s">
        <v>1248</v>
      </c>
      <c r="F444" s="832">
        <v>44624</v>
      </c>
      <c r="G444" s="832">
        <v>44634</v>
      </c>
      <c r="H444" s="832">
        <v>44634</v>
      </c>
      <c r="I444" s="833">
        <v>32526.83</v>
      </c>
      <c r="J444" s="833">
        <v>28568.51</v>
      </c>
      <c r="K444" s="834" t="s">
        <v>705</v>
      </c>
      <c r="L444" s="810" t="str">
        <f t="shared" si="21"/>
        <v>3/2022</v>
      </c>
      <c r="M444" s="835">
        <f>_xlfn.XLOOKUP(L444,'Série Histórica IPCA'!$N$313:$N$447,'Série Histórica IPCA'!$J$313:$J$447,0)</f>
        <v>2.0202636351714012</v>
      </c>
      <c r="N444" s="833">
        <f t="shared" si="22"/>
        <v>16100.289800662769</v>
      </c>
    </row>
    <row r="445" spans="3:14">
      <c r="C445" s="836" t="s">
        <v>854</v>
      </c>
      <c r="D445" s="842" t="s">
        <v>1253</v>
      </c>
      <c r="E445" s="830" t="s">
        <v>1248</v>
      </c>
      <c r="F445" s="832">
        <v>44624</v>
      </c>
      <c r="G445" s="832">
        <v>44634</v>
      </c>
      <c r="H445" s="832">
        <v>44634</v>
      </c>
      <c r="I445" s="833">
        <v>19549.43</v>
      </c>
      <c r="J445" s="833">
        <v>17369.68</v>
      </c>
      <c r="K445" s="834" t="s">
        <v>705</v>
      </c>
      <c r="L445" s="810" t="str">
        <f t="shared" si="21"/>
        <v>3/2022</v>
      </c>
      <c r="M445" s="835">
        <f>_xlfn.XLOOKUP(L445,'Série Histórica IPCA'!$N$313:$N$447,'Série Histórica IPCA'!$J$313:$J$447,0)</f>
        <v>2.0202636351714012</v>
      </c>
      <c r="N445" s="833">
        <f t="shared" si="22"/>
        <v>9676.672717192876</v>
      </c>
    </row>
    <row r="446" spans="3:14">
      <c r="C446" s="836" t="s">
        <v>854</v>
      </c>
      <c r="D446" s="842" t="s">
        <v>1254</v>
      </c>
      <c r="E446" s="830" t="s">
        <v>1248</v>
      </c>
      <c r="F446" s="832">
        <v>44624</v>
      </c>
      <c r="G446" s="832">
        <v>44634</v>
      </c>
      <c r="H446" s="832">
        <v>44634</v>
      </c>
      <c r="I446" s="833">
        <v>6203.74</v>
      </c>
      <c r="J446" s="833">
        <v>5512.02</v>
      </c>
      <c r="K446" s="834" t="s">
        <v>705</v>
      </c>
      <c r="L446" s="810" t="str">
        <f t="shared" si="21"/>
        <v>3/2022</v>
      </c>
      <c r="M446" s="835">
        <f>_xlfn.XLOOKUP(L446,'Série Histórica IPCA'!$N$313:$N$447,'Série Histórica IPCA'!$J$313:$J$447,0)</f>
        <v>2.0202636351714012</v>
      </c>
      <c r="N446" s="833">
        <f t="shared" si="22"/>
        <v>3070.7576437040943</v>
      </c>
    </row>
    <row r="447" spans="3:14">
      <c r="C447" s="836" t="s">
        <v>854</v>
      </c>
      <c r="D447" s="842" t="s">
        <v>1255</v>
      </c>
      <c r="E447" s="830" t="s">
        <v>1248</v>
      </c>
      <c r="F447" s="832">
        <v>44624</v>
      </c>
      <c r="G447" s="832">
        <v>44634</v>
      </c>
      <c r="H447" s="832">
        <v>44634</v>
      </c>
      <c r="I447" s="833">
        <v>3728.6</v>
      </c>
      <c r="J447" s="833">
        <v>3312.86</v>
      </c>
      <c r="K447" s="834" t="s">
        <v>705</v>
      </c>
      <c r="L447" s="810" t="str">
        <f t="shared" si="21"/>
        <v>3/2022</v>
      </c>
      <c r="M447" s="835">
        <f>_xlfn.XLOOKUP(L447,'Série Histórica IPCA'!$N$313:$N$447,'Série Histórica IPCA'!$J$313:$J$447,0)</f>
        <v>2.0202636351714012</v>
      </c>
      <c r="N447" s="833">
        <f t="shared" si="22"/>
        <v>1845.6007102675298</v>
      </c>
    </row>
    <row r="448" spans="3:14">
      <c r="C448" s="830" t="s">
        <v>821</v>
      </c>
      <c r="D448" s="831" t="s">
        <v>1256</v>
      </c>
      <c r="E448" s="830" t="s">
        <v>1257</v>
      </c>
      <c r="F448" s="837">
        <v>44637</v>
      </c>
      <c r="G448" s="837">
        <v>44645</v>
      </c>
      <c r="H448" s="837">
        <v>44645</v>
      </c>
      <c r="I448" s="833">
        <v>241468.5</v>
      </c>
      <c r="J448" s="833">
        <v>236276.92</v>
      </c>
      <c r="K448" s="834" t="s">
        <v>1449</v>
      </c>
      <c r="L448" s="810" t="str">
        <f t="shared" si="21"/>
        <v>3/2022</v>
      </c>
      <c r="M448" s="835">
        <f>_xlfn.XLOOKUP(L448,'Série Histórica IPCA'!$N$313:$N$447,'Série Histórica IPCA'!$J$313:$J$447,0)</f>
        <v>2.0202636351714012</v>
      </c>
      <c r="N448" s="833">
        <f t="shared" si="22"/>
        <v>119523.26211104303</v>
      </c>
    </row>
    <row r="449" spans="3:14">
      <c r="C449" s="838" t="s">
        <v>854</v>
      </c>
      <c r="D449" s="810" t="s">
        <v>1258</v>
      </c>
      <c r="E449" s="838" t="s">
        <v>1259</v>
      </c>
      <c r="F449" s="827">
        <v>44635</v>
      </c>
      <c r="G449" s="827">
        <v>44652</v>
      </c>
      <c r="H449" s="827">
        <v>44652</v>
      </c>
      <c r="I449" s="828">
        <v>9079.36</v>
      </c>
      <c r="J449" s="828">
        <v>7961.62</v>
      </c>
      <c r="K449" s="829" t="s">
        <v>702</v>
      </c>
      <c r="L449" s="810" t="str">
        <f t="shared" si="21"/>
        <v>4/2022</v>
      </c>
      <c r="M449" s="835">
        <f>_xlfn.XLOOKUP(L449,'Série Histórica IPCA'!$N$313:$N$447,'Série Histórica IPCA'!$J$313:$J$447,0)</f>
        <v>2.0416787949934267</v>
      </c>
      <c r="N449" s="828">
        <f t="shared" si="22"/>
        <v>4447.0070523650766</v>
      </c>
    </row>
    <row r="450" spans="3:14">
      <c r="C450" s="838" t="s">
        <v>854</v>
      </c>
      <c r="D450" s="810" t="s">
        <v>1260</v>
      </c>
      <c r="E450" s="838" t="s">
        <v>1261</v>
      </c>
      <c r="F450" s="827">
        <v>44635</v>
      </c>
      <c r="G450" s="827">
        <v>44652</v>
      </c>
      <c r="H450" s="827">
        <v>44652</v>
      </c>
      <c r="I450" s="828">
        <v>5456.92</v>
      </c>
      <c r="J450" s="828">
        <v>4848.47</v>
      </c>
      <c r="K450" s="829" t="s">
        <v>702</v>
      </c>
      <c r="L450" s="810" t="str">
        <f t="shared" si="21"/>
        <v>4/2022</v>
      </c>
      <c r="M450" s="835">
        <f>_xlfn.XLOOKUP(L450,'Série Histórica IPCA'!$N$313:$N$447,'Série Histórica IPCA'!$J$313:$J$447,0)</f>
        <v>2.0416787949934267</v>
      </c>
      <c r="N450" s="828">
        <f t="shared" si="22"/>
        <v>2672.7612655729076</v>
      </c>
    </row>
    <row r="451" spans="3:14">
      <c r="C451" s="836" t="s">
        <v>854</v>
      </c>
      <c r="D451" s="842" t="s">
        <v>1262</v>
      </c>
      <c r="E451" s="830" t="s">
        <v>1261</v>
      </c>
      <c r="F451" s="832">
        <v>44635</v>
      </c>
      <c r="G451" s="832">
        <v>44652</v>
      </c>
      <c r="H451" s="832">
        <v>44652</v>
      </c>
      <c r="I451" s="833">
        <v>6052.9</v>
      </c>
      <c r="J451" s="833">
        <v>5307.75</v>
      </c>
      <c r="K451" s="834" t="s">
        <v>705</v>
      </c>
      <c r="L451" s="810" t="str">
        <f t="shared" si="21"/>
        <v>4/2022</v>
      </c>
      <c r="M451" s="835">
        <f>_xlfn.XLOOKUP(L451,'Série Histórica IPCA'!$N$313:$N$447,'Série Histórica IPCA'!$J$313:$J$447,0)</f>
        <v>2.0416787949934267</v>
      </c>
      <c r="N451" s="833">
        <f t="shared" si="22"/>
        <v>2964.6681029566589</v>
      </c>
    </row>
    <row r="452" spans="3:14">
      <c r="C452" s="836" t="s">
        <v>854</v>
      </c>
      <c r="D452" s="842" t="s">
        <v>1263</v>
      </c>
      <c r="E452" s="830" t="s">
        <v>1264</v>
      </c>
      <c r="F452" s="832">
        <v>44635</v>
      </c>
      <c r="G452" s="832">
        <v>44652</v>
      </c>
      <c r="H452" s="832">
        <v>44652</v>
      </c>
      <c r="I452" s="833">
        <v>3637.96</v>
      </c>
      <c r="J452" s="833">
        <v>3232.32</v>
      </c>
      <c r="K452" s="834" t="s">
        <v>705</v>
      </c>
      <c r="L452" s="810" t="str">
        <f t="shared" si="21"/>
        <v>4/2022</v>
      </c>
      <c r="M452" s="835">
        <f>_xlfn.XLOOKUP(L452,'Série Histórica IPCA'!$N$313:$N$447,'Série Histórica IPCA'!$J$313:$J$447,0)</f>
        <v>2.0416787949934267</v>
      </c>
      <c r="N452" s="833">
        <f t="shared" si="22"/>
        <v>1781.8473742887222</v>
      </c>
    </row>
    <row r="453" spans="3:14">
      <c r="C453" s="838" t="s">
        <v>821</v>
      </c>
      <c r="D453" s="826" t="s">
        <v>1265</v>
      </c>
      <c r="E453" s="838" t="s">
        <v>1266</v>
      </c>
      <c r="F453" s="827">
        <v>44658</v>
      </c>
      <c r="G453" s="827">
        <v>44684</v>
      </c>
      <c r="H453" s="827">
        <v>44684</v>
      </c>
      <c r="I453" s="828">
        <v>33048.22</v>
      </c>
      <c r="J453" s="828">
        <v>29000.98</v>
      </c>
      <c r="K453" s="829" t="s">
        <v>702</v>
      </c>
      <c r="L453" s="810" t="str">
        <f t="shared" si="21"/>
        <v>5/2022</v>
      </c>
      <c r="M453" s="835">
        <f>_xlfn.XLOOKUP(L453,'Série Histórica IPCA'!$N$313:$N$447,'Série Histórica IPCA'!$J$313:$J$447,0)</f>
        <v>2.0512748337486286</v>
      </c>
      <c r="N453" s="828">
        <f t="shared" si="22"/>
        <v>16111.063937544443</v>
      </c>
    </row>
    <row r="454" spans="3:14">
      <c r="C454" s="838" t="s">
        <v>821</v>
      </c>
      <c r="D454" s="826" t="s">
        <v>1267</v>
      </c>
      <c r="E454" s="838" t="s">
        <v>1266</v>
      </c>
      <c r="F454" s="827">
        <v>44658</v>
      </c>
      <c r="G454" s="827">
        <v>44684</v>
      </c>
      <c r="H454" s="827">
        <v>44684</v>
      </c>
      <c r="I454" s="828">
        <v>19862.810000000001</v>
      </c>
      <c r="J454" s="828">
        <v>17648.11</v>
      </c>
      <c r="K454" s="829" t="s">
        <v>702</v>
      </c>
      <c r="L454" s="810" t="str">
        <f t="shared" si="21"/>
        <v>5/2022</v>
      </c>
      <c r="M454" s="835">
        <f>_xlfn.XLOOKUP(L454,'Série Histórica IPCA'!$N$313:$N$447,'Série Histórica IPCA'!$J$313:$J$447,0)</f>
        <v>2.0512748337486286</v>
      </c>
      <c r="N454" s="828">
        <f t="shared" si="22"/>
        <v>9683.1539456375303</v>
      </c>
    </row>
    <row r="455" spans="3:14">
      <c r="C455" s="838" t="s">
        <v>821</v>
      </c>
      <c r="D455" s="826" t="s">
        <v>1268</v>
      </c>
      <c r="E455" s="838" t="s">
        <v>1266</v>
      </c>
      <c r="F455" s="827">
        <v>44658</v>
      </c>
      <c r="G455" s="827">
        <v>44684</v>
      </c>
      <c r="H455" s="827">
        <v>44684</v>
      </c>
      <c r="I455" s="828">
        <v>7709.04</v>
      </c>
      <c r="J455" s="828">
        <v>6849.48</v>
      </c>
      <c r="K455" s="829" t="s">
        <v>702</v>
      </c>
      <c r="L455" s="810" t="str">
        <f t="shared" si="21"/>
        <v>5/2022</v>
      </c>
      <c r="M455" s="835">
        <f>_xlfn.XLOOKUP(L455,'Série Histórica IPCA'!$N$313:$N$447,'Série Histórica IPCA'!$J$313:$J$447,0)</f>
        <v>2.0512748337486286</v>
      </c>
      <c r="N455" s="828">
        <f t="shared" si="22"/>
        <v>3758.1702233006076</v>
      </c>
    </row>
    <row r="456" spans="3:14">
      <c r="C456" s="838" t="s">
        <v>821</v>
      </c>
      <c r="D456" s="826" t="s">
        <v>1269</v>
      </c>
      <c r="E456" s="838" t="s">
        <v>1266</v>
      </c>
      <c r="F456" s="827">
        <v>44658</v>
      </c>
      <c r="G456" s="827">
        <v>44684</v>
      </c>
      <c r="H456" s="827">
        <v>44684</v>
      </c>
      <c r="I456" s="828">
        <v>4633.33</v>
      </c>
      <c r="J456" s="828">
        <v>4116.71</v>
      </c>
      <c r="K456" s="829" t="s">
        <v>702</v>
      </c>
      <c r="L456" s="810" t="str">
        <f t="shared" si="21"/>
        <v>5/2022</v>
      </c>
      <c r="M456" s="835">
        <f>_xlfn.XLOOKUP(L456,'Série Histórica IPCA'!$N$313:$N$447,'Série Histórica IPCA'!$J$313:$J$447,0)</f>
        <v>2.0512748337486286</v>
      </c>
      <c r="N456" s="828">
        <f t="shared" si="22"/>
        <v>2258.7563225415101</v>
      </c>
    </row>
    <row r="457" spans="3:14">
      <c r="C457" s="830" t="s">
        <v>821</v>
      </c>
      <c r="D457" s="831" t="s">
        <v>1270</v>
      </c>
      <c r="E457" s="830" t="s">
        <v>1271</v>
      </c>
      <c r="F457" s="832">
        <v>44658</v>
      </c>
      <c r="G457" s="832">
        <v>44684</v>
      </c>
      <c r="H457" s="832">
        <v>44684</v>
      </c>
      <c r="I457" s="833">
        <v>22032.15</v>
      </c>
      <c r="J457" s="833">
        <v>19333.990000000002</v>
      </c>
      <c r="K457" s="834" t="s">
        <v>705</v>
      </c>
      <c r="L457" s="810" t="str">
        <f t="shared" si="21"/>
        <v>5/2022</v>
      </c>
      <c r="M457" s="835">
        <f>_xlfn.XLOOKUP(L457,'Série Histórica IPCA'!$N$313:$N$447,'Série Histórica IPCA'!$J$313:$J$447,0)</f>
        <v>2.0512748337486286</v>
      </c>
      <c r="N457" s="833">
        <f t="shared" si="22"/>
        <v>10740.710916702013</v>
      </c>
    </row>
    <row r="458" spans="3:14">
      <c r="C458" s="830" t="s">
        <v>821</v>
      </c>
      <c r="D458" s="831" t="s">
        <v>1272</v>
      </c>
      <c r="E458" s="830" t="s">
        <v>1271</v>
      </c>
      <c r="F458" s="832">
        <v>44658</v>
      </c>
      <c r="G458" s="832">
        <v>44684</v>
      </c>
      <c r="H458" s="832">
        <v>44684</v>
      </c>
      <c r="I458" s="833">
        <v>13241.87</v>
      </c>
      <c r="J458" s="833">
        <v>11765.4</v>
      </c>
      <c r="K458" s="834" t="s">
        <v>705</v>
      </c>
      <c r="L458" s="810" t="str">
        <f t="shared" si="21"/>
        <v>5/2022</v>
      </c>
      <c r="M458" s="835">
        <f>_xlfn.XLOOKUP(L458,'Série Histórica IPCA'!$N$313:$N$447,'Série Histórica IPCA'!$J$313:$J$447,0)</f>
        <v>2.0512748337486286</v>
      </c>
      <c r="N458" s="833">
        <f t="shared" si="22"/>
        <v>6455.4343387526351</v>
      </c>
    </row>
    <row r="459" spans="3:14">
      <c r="C459" s="830" t="s">
        <v>821</v>
      </c>
      <c r="D459" s="831" t="s">
        <v>1273</v>
      </c>
      <c r="E459" s="830" t="s">
        <v>1266</v>
      </c>
      <c r="F459" s="832">
        <v>44658</v>
      </c>
      <c r="G459" s="832">
        <v>44684</v>
      </c>
      <c r="H459" s="832">
        <v>44684</v>
      </c>
      <c r="I459" s="833">
        <v>5139.3599999999997</v>
      </c>
      <c r="J459" s="833">
        <v>4566.32</v>
      </c>
      <c r="K459" s="834" t="s">
        <v>705</v>
      </c>
      <c r="L459" s="810" t="str">
        <f t="shared" si="21"/>
        <v>5/2022</v>
      </c>
      <c r="M459" s="835">
        <f>_xlfn.XLOOKUP(L459,'Série Histórica IPCA'!$N$313:$N$447,'Série Histórica IPCA'!$J$313:$J$447,0)</f>
        <v>2.0512748337486286</v>
      </c>
      <c r="N459" s="833">
        <f t="shared" si="22"/>
        <v>2505.4468155337381</v>
      </c>
    </row>
    <row r="460" spans="3:14">
      <c r="C460" s="830" t="s">
        <v>821</v>
      </c>
      <c r="D460" s="831" t="s">
        <v>1274</v>
      </c>
      <c r="E460" s="830" t="s">
        <v>1266</v>
      </c>
      <c r="F460" s="832">
        <v>44658</v>
      </c>
      <c r="G460" s="832">
        <v>44684</v>
      </c>
      <c r="H460" s="832">
        <v>44684</v>
      </c>
      <c r="I460" s="833">
        <v>3088.89</v>
      </c>
      <c r="J460" s="833">
        <v>2744.48</v>
      </c>
      <c r="K460" s="834" t="s">
        <v>705</v>
      </c>
      <c r="L460" s="810" t="str">
        <f t="shared" si="21"/>
        <v>5/2022</v>
      </c>
      <c r="M460" s="835">
        <f>_xlfn.XLOOKUP(L460,'Série Histórica IPCA'!$N$313:$N$447,'Série Histórica IPCA'!$J$313:$J$447,0)</f>
        <v>2.0512748337486286</v>
      </c>
      <c r="N460" s="833">
        <f t="shared" si="22"/>
        <v>1505.8391733667243</v>
      </c>
    </row>
    <row r="461" spans="3:14">
      <c r="C461" s="838" t="s">
        <v>854</v>
      </c>
      <c r="D461" s="810" t="s">
        <v>1275</v>
      </c>
      <c r="E461" s="838" t="s">
        <v>1276</v>
      </c>
      <c r="F461" s="827">
        <v>44690</v>
      </c>
      <c r="G461" s="827">
        <v>44699</v>
      </c>
      <c r="H461" s="827">
        <v>44699</v>
      </c>
      <c r="I461" s="828">
        <v>33451.03</v>
      </c>
      <c r="J461" s="828">
        <v>29354.43</v>
      </c>
      <c r="K461" s="829" t="s">
        <v>702</v>
      </c>
      <c r="L461" s="810" t="str">
        <f t="shared" si="21"/>
        <v>5/2022</v>
      </c>
      <c r="M461" s="835">
        <f>_xlfn.XLOOKUP(L461,'Série Histórica IPCA'!$N$313:$N$447,'Série Histórica IPCA'!$J$313:$J$447,0)</f>
        <v>2.0512748337486286</v>
      </c>
      <c r="N461" s="828">
        <f t="shared" si="22"/>
        <v>16307.434503483613</v>
      </c>
    </row>
    <row r="462" spans="3:14">
      <c r="C462" s="838" t="s">
        <v>854</v>
      </c>
      <c r="D462" s="810" t="s">
        <v>1277</v>
      </c>
      <c r="E462" s="838" t="s">
        <v>1276</v>
      </c>
      <c r="F462" s="827">
        <v>44690</v>
      </c>
      <c r="G462" s="827">
        <v>44699</v>
      </c>
      <c r="H462" s="827">
        <v>44699</v>
      </c>
      <c r="I462" s="828">
        <v>20104.900000000001</v>
      </c>
      <c r="J462" s="828">
        <v>17863.2</v>
      </c>
      <c r="K462" s="829" t="s">
        <v>702</v>
      </c>
      <c r="L462" s="810" t="str">
        <f t="shared" si="21"/>
        <v>5/2022</v>
      </c>
      <c r="M462" s="835">
        <f>_xlfn.XLOOKUP(L462,'Série Histórica IPCA'!$N$313:$N$447,'Série Histórica IPCA'!$J$313:$J$447,0)</f>
        <v>2.0512748337486286</v>
      </c>
      <c r="N462" s="828">
        <f t="shared" si="22"/>
        <v>9801.1732358940135</v>
      </c>
    </row>
    <row r="463" spans="3:14">
      <c r="C463" s="838" t="s">
        <v>854</v>
      </c>
      <c r="D463" s="810" t="s">
        <v>1278</v>
      </c>
      <c r="E463" s="838" t="s">
        <v>1276</v>
      </c>
      <c r="F463" s="827">
        <v>44690</v>
      </c>
      <c r="G463" s="827">
        <v>44699</v>
      </c>
      <c r="H463" s="827">
        <v>44699</v>
      </c>
      <c r="I463" s="828">
        <v>7803</v>
      </c>
      <c r="J463" s="828">
        <v>6932.96</v>
      </c>
      <c r="K463" s="829" t="s">
        <v>702</v>
      </c>
      <c r="L463" s="810" t="str">
        <f t="shared" si="21"/>
        <v>5/2022</v>
      </c>
      <c r="M463" s="835">
        <f>_xlfn.XLOOKUP(L463,'Série Histórica IPCA'!$N$313:$N$447,'Série Histórica IPCA'!$J$313:$J$447,0)</f>
        <v>2.0512748337486286</v>
      </c>
      <c r="N463" s="828">
        <f t="shared" si="22"/>
        <v>3803.9758844700041</v>
      </c>
    </row>
    <row r="464" spans="3:14">
      <c r="C464" s="838" t="s">
        <v>854</v>
      </c>
      <c r="D464" s="810" t="s">
        <v>1279</v>
      </c>
      <c r="E464" s="838" t="s">
        <v>1276</v>
      </c>
      <c r="F464" s="827">
        <v>44690</v>
      </c>
      <c r="G464" s="827">
        <v>44699</v>
      </c>
      <c r="H464" s="827">
        <v>44699</v>
      </c>
      <c r="I464" s="828">
        <v>4689.8</v>
      </c>
      <c r="J464" s="828">
        <v>4166.8900000000003</v>
      </c>
      <c r="K464" s="829" t="s">
        <v>702</v>
      </c>
      <c r="L464" s="810" t="str">
        <f t="shared" si="21"/>
        <v>5/2022</v>
      </c>
      <c r="M464" s="835">
        <f>_xlfn.XLOOKUP(L464,'Série Histórica IPCA'!$N$313:$N$447,'Série Histórica IPCA'!$J$313:$J$447,0)</f>
        <v>2.0512748337486286</v>
      </c>
      <c r="N464" s="828">
        <f t="shared" si="22"/>
        <v>2286.2855444043862</v>
      </c>
    </row>
    <row r="465" spans="3:14">
      <c r="C465" s="836" t="s">
        <v>854</v>
      </c>
      <c r="D465" s="842" t="s">
        <v>1280</v>
      </c>
      <c r="E465" s="830" t="s">
        <v>1276</v>
      </c>
      <c r="F465" s="832">
        <v>44687</v>
      </c>
      <c r="G465" s="832">
        <v>44699</v>
      </c>
      <c r="H465" s="832">
        <v>44699</v>
      </c>
      <c r="I465" s="833">
        <v>22300.69</v>
      </c>
      <c r="J465" s="833">
        <v>19569.64</v>
      </c>
      <c r="K465" s="834" t="s">
        <v>705</v>
      </c>
      <c r="L465" s="810" t="str">
        <f t="shared" si="21"/>
        <v>5/2022</v>
      </c>
      <c r="M465" s="835">
        <f>_xlfn.XLOOKUP(L465,'Série Histórica IPCA'!$N$313:$N$447,'Série Histórica IPCA'!$J$313:$J$447,0)</f>
        <v>2.0512748337486286</v>
      </c>
      <c r="N465" s="833">
        <f t="shared" si="22"/>
        <v>10871.624627328127</v>
      </c>
    </row>
    <row r="466" spans="3:14">
      <c r="C466" s="836" t="s">
        <v>854</v>
      </c>
      <c r="D466" s="842" t="s">
        <v>1281</v>
      </c>
      <c r="E466" s="830" t="s">
        <v>1276</v>
      </c>
      <c r="F466" s="832">
        <v>44687</v>
      </c>
      <c r="G466" s="832">
        <v>44699</v>
      </c>
      <c r="H466" s="832">
        <v>44699</v>
      </c>
      <c r="I466" s="833">
        <v>13403.27</v>
      </c>
      <c r="J466" s="833">
        <v>11908.81</v>
      </c>
      <c r="K466" s="834" t="s">
        <v>705</v>
      </c>
      <c r="L466" s="810" t="str">
        <f t="shared" si="21"/>
        <v>5/2022</v>
      </c>
      <c r="M466" s="835">
        <f>_xlfn.XLOOKUP(L466,'Série Histórica IPCA'!$N$313:$N$447,'Série Histórica IPCA'!$J$313:$J$447,0)</f>
        <v>2.0512748337486286</v>
      </c>
      <c r="N466" s="833">
        <f t="shared" si="22"/>
        <v>6534.1171156017263</v>
      </c>
    </row>
    <row r="467" spans="3:14">
      <c r="C467" s="836" t="s">
        <v>854</v>
      </c>
      <c r="D467" s="842" t="s">
        <v>1282</v>
      </c>
      <c r="E467" s="830" t="s">
        <v>1276</v>
      </c>
      <c r="F467" s="832">
        <v>44687</v>
      </c>
      <c r="G467" s="832">
        <v>44699</v>
      </c>
      <c r="H467" s="832">
        <v>44699</v>
      </c>
      <c r="I467" s="833">
        <v>5202</v>
      </c>
      <c r="J467" s="833">
        <v>4621.9799999999996</v>
      </c>
      <c r="K467" s="834" t="s">
        <v>705</v>
      </c>
      <c r="L467" s="810" t="str">
        <f t="shared" si="21"/>
        <v>5/2022</v>
      </c>
      <c r="M467" s="835">
        <f>_xlfn.XLOOKUP(L467,'Série Histórica IPCA'!$N$313:$N$447,'Série Histórica IPCA'!$J$313:$J$447,0)</f>
        <v>2.0512748337486286</v>
      </c>
      <c r="N467" s="833">
        <f t="shared" si="22"/>
        <v>2535.9839229800027</v>
      </c>
    </row>
    <row r="468" spans="3:14">
      <c r="C468" s="836" t="s">
        <v>854</v>
      </c>
      <c r="D468" s="842" t="s">
        <v>1283</v>
      </c>
      <c r="E468" s="830" t="s">
        <v>1276</v>
      </c>
      <c r="F468" s="832">
        <v>44687</v>
      </c>
      <c r="G468" s="832">
        <v>44699</v>
      </c>
      <c r="H468" s="832">
        <v>44699</v>
      </c>
      <c r="I468" s="833">
        <v>3126.54</v>
      </c>
      <c r="J468" s="833">
        <v>2777.93</v>
      </c>
      <c r="K468" s="834" t="s">
        <v>705</v>
      </c>
      <c r="L468" s="810" t="str">
        <f t="shared" si="21"/>
        <v>5/2022</v>
      </c>
      <c r="M468" s="835">
        <f>_xlfn.XLOOKUP(L468,'Série Histórica IPCA'!$N$313:$N$447,'Série Histórica IPCA'!$J$313:$J$447,0)</f>
        <v>2.0512748337486286</v>
      </c>
      <c r="N468" s="833">
        <f t="shared" si="22"/>
        <v>1524.1936129476926</v>
      </c>
    </row>
    <row r="469" spans="3:14">
      <c r="C469" s="830" t="s">
        <v>821</v>
      </c>
      <c r="D469" s="831" t="s">
        <v>1284</v>
      </c>
      <c r="E469" s="830" t="s">
        <v>1285</v>
      </c>
      <c r="F469" s="837">
        <v>44693</v>
      </c>
      <c r="G469" s="837">
        <v>44712</v>
      </c>
      <c r="H469" s="837">
        <v>44712</v>
      </c>
      <c r="I469" s="833">
        <v>120734.25</v>
      </c>
      <c r="J469" s="833">
        <v>118138.47</v>
      </c>
      <c r="K469" s="834" t="s">
        <v>1449</v>
      </c>
      <c r="L469" s="810" t="str">
        <f t="shared" si="21"/>
        <v>5/2022</v>
      </c>
      <c r="M469" s="835">
        <f>_xlfn.XLOOKUP(L469,'Série Histórica IPCA'!$N$313:$N$447,'Série Histórica IPCA'!$J$313:$J$447,0)</f>
        <v>2.0512748337486286</v>
      </c>
      <c r="N469" s="833">
        <f t="shared" si="22"/>
        <v>58858.153970213069</v>
      </c>
    </row>
    <row r="470" spans="3:14">
      <c r="C470" s="830" t="s">
        <v>821</v>
      </c>
      <c r="D470" s="831" t="s">
        <v>1286</v>
      </c>
      <c r="E470" s="830" t="s">
        <v>1285</v>
      </c>
      <c r="F470" s="837">
        <v>44713</v>
      </c>
      <c r="G470" s="837">
        <v>44722</v>
      </c>
      <c r="H470" s="837">
        <v>44722</v>
      </c>
      <c r="I470" s="833">
        <v>120734.25</v>
      </c>
      <c r="J470" s="833">
        <v>118138.47</v>
      </c>
      <c r="K470" s="834" t="s">
        <v>1449</v>
      </c>
      <c r="L470" s="810" t="str">
        <f t="shared" si="21"/>
        <v>6/2022</v>
      </c>
      <c r="M470" s="835">
        <f>_xlfn.XLOOKUP(L470,'Série Histórica IPCA'!$N$313:$N$447,'Série Histórica IPCA'!$J$313:$J$447,0)</f>
        <v>2.0650195599256627</v>
      </c>
      <c r="N470" s="833">
        <f t="shared" si="22"/>
        <v>58466.395351890147</v>
      </c>
    </row>
    <row r="471" spans="3:14">
      <c r="C471" s="838" t="s">
        <v>854</v>
      </c>
      <c r="D471" s="810" t="s">
        <v>1287</v>
      </c>
      <c r="E471" s="838" t="s">
        <v>1288</v>
      </c>
      <c r="F471" s="827">
        <v>44722</v>
      </c>
      <c r="G471" s="827">
        <v>44743</v>
      </c>
      <c r="H471" s="827">
        <v>44743</v>
      </c>
      <c r="I471" s="828">
        <v>33048.22</v>
      </c>
      <c r="J471" s="828">
        <v>28890.31</v>
      </c>
      <c r="K471" s="829" t="s">
        <v>702</v>
      </c>
      <c r="L471" s="810" t="str">
        <f t="shared" si="21"/>
        <v>7/2022</v>
      </c>
      <c r="M471" s="835">
        <f>_xlfn.XLOOKUP(L471,'Série Histórica IPCA'!$N$313:$N$447,'Série Histórica IPCA'!$J$313:$J$447,0)</f>
        <v>2.0509773565472171</v>
      </c>
      <c r="N471" s="828">
        <f t="shared" si="22"/>
        <v>16113.400713324341</v>
      </c>
    </row>
    <row r="472" spans="3:14">
      <c r="C472" s="838" t="s">
        <v>854</v>
      </c>
      <c r="D472" s="810" t="s">
        <v>1289</v>
      </c>
      <c r="E472" s="838" t="s">
        <v>1288</v>
      </c>
      <c r="F472" s="827">
        <v>44722</v>
      </c>
      <c r="G472" s="827">
        <v>44743</v>
      </c>
      <c r="H472" s="827">
        <v>44743</v>
      </c>
      <c r="I472" s="828">
        <v>19862.810000000001</v>
      </c>
      <c r="J472" s="828">
        <v>17648.11</v>
      </c>
      <c r="K472" s="829" t="s">
        <v>702</v>
      </c>
      <c r="L472" s="810" t="str">
        <f t="shared" si="21"/>
        <v>7/2022</v>
      </c>
      <c r="M472" s="835">
        <f>_xlfn.XLOOKUP(L472,'Série Histórica IPCA'!$N$313:$N$447,'Série Histórica IPCA'!$J$313:$J$447,0)</f>
        <v>2.0509773565472171</v>
      </c>
      <c r="N472" s="828">
        <f t="shared" si="22"/>
        <v>9684.5584065533894</v>
      </c>
    </row>
    <row r="473" spans="3:14">
      <c r="C473" s="838" t="s">
        <v>854</v>
      </c>
      <c r="D473" s="810" t="s">
        <v>1290</v>
      </c>
      <c r="E473" s="838" t="s">
        <v>1288</v>
      </c>
      <c r="F473" s="827">
        <v>44722</v>
      </c>
      <c r="G473" s="827">
        <v>44743</v>
      </c>
      <c r="H473" s="827">
        <v>44743</v>
      </c>
      <c r="I473" s="828">
        <v>7709.04</v>
      </c>
      <c r="J473" s="828">
        <v>6849.48</v>
      </c>
      <c r="K473" s="829" t="s">
        <v>702</v>
      </c>
      <c r="L473" s="810" t="str">
        <f t="shared" si="21"/>
        <v>7/2022</v>
      </c>
      <c r="M473" s="835">
        <f>_xlfn.XLOOKUP(L473,'Série Histórica IPCA'!$N$313:$N$447,'Série Histórica IPCA'!$J$313:$J$447,0)</f>
        <v>2.0509773565472171</v>
      </c>
      <c r="N473" s="828">
        <f t="shared" si="22"/>
        <v>3758.7153146234768</v>
      </c>
    </row>
    <row r="474" spans="3:14">
      <c r="C474" s="838" t="s">
        <v>854</v>
      </c>
      <c r="D474" s="810" t="s">
        <v>1291</v>
      </c>
      <c r="E474" s="838" t="s">
        <v>1288</v>
      </c>
      <c r="F474" s="827">
        <v>44722</v>
      </c>
      <c r="G474" s="827">
        <v>44743</v>
      </c>
      <c r="H474" s="827">
        <v>44743</v>
      </c>
      <c r="I474" s="828">
        <v>4633.33</v>
      </c>
      <c r="J474" s="828">
        <v>4116.71</v>
      </c>
      <c r="K474" s="829" t="s">
        <v>702</v>
      </c>
      <c r="L474" s="810" t="str">
        <f t="shared" si="21"/>
        <v>7/2022</v>
      </c>
      <c r="M474" s="835">
        <f>_xlfn.XLOOKUP(L474,'Série Histórica IPCA'!$N$313:$N$447,'Série Histórica IPCA'!$J$313:$J$447,0)</f>
        <v>2.0509773565472171</v>
      </c>
      <c r="N474" s="828">
        <f t="shared" si="22"/>
        <v>2259.0839363532154</v>
      </c>
    </row>
    <row r="475" spans="3:14">
      <c r="C475" s="836" t="s">
        <v>854</v>
      </c>
      <c r="D475" s="842" t="s">
        <v>1292</v>
      </c>
      <c r="E475" s="830" t="s">
        <v>1293</v>
      </c>
      <c r="F475" s="832">
        <v>44721</v>
      </c>
      <c r="G475" s="832">
        <v>44743</v>
      </c>
      <c r="H475" s="832">
        <v>44743</v>
      </c>
      <c r="I475" s="833">
        <v>22032.15</v>
      </c>
      <c r="J475" s="833">
        <v>19260.22</v>
      </c>
      <c r="K475" s="834" t="s">
        <v>705</v>
      </c>
      <c r="L475" s="810" t="str">
        <f t="shared" si="21"/>
        <v>7/2022</v>
      </c>
      <c r="M475" s="835">
        <f>_xlfn.XLOOKUP(L475,'Série Histórica IPCA'!$N$313:$N$447,'Série Histórica IPCA'!$J$313:$J$447,0)</f>
        <v>2.0509773565472171</v>
      </c>
      <c r="N475" s="833">
        <f t="shared" si="22"/>
        <v>10742.268767457639</v>
      </c>
    </row>
    <row r="476" spans="3:14">
      <c r="C476" s="836" t="s">
        <v>854</v>
      </c>
      <c r="D476" s="842" t="s">
        <v>1294</v>
      </c>
      <c r="E476" s="830" t="s">
        <v>1288</v>
      </c>
      <c r="F476" s="832">
        <v>44721</v>
      </c>
      <c r="G476" s="832">
        <v>44743</v>
      </c>
      <c r="H476" s="832">
        <v>44743</v>
      </c>
      <c r="I476" s="833">
        <v>5139.3599999999997</v>
      </c>
      <c r="J476" s="833">
        <v>4566.32</v>
      </c>
      <c r="K476" s="834" t="s">
        <v>705</v>
      </c>
      <c r="L476" s="810" t="str">
        <f t="shared" si="21"/>
        <v>7/2022</v>
      </c>
      <c r="M476" s="835">
        <f>_xlfn.XLOOKUP(L476,'Série Histórica IPCA'!$N$313:$N$447,'Série Histórica IPCA'!$J$313:$J$447,0)</f>
        <v>2.0509773565472171</v>
      </c>
      <c r="N476" s="833">
        <f t="shared" si="22"/>
        <v>2505.8102097489846</v>
      </c>
    </row>
    <row r="477" spans="3:14">
      <c r="C477" s="836" t="s">
        <v>854</v>
      </c>
      <c r="D477" s="842" t="s">
        <v>1295</v>
      </c>
      <c r="E477" s="830" t="s">
        <v>1288</v>
      </c>
      <c r="F477" s="832">
        <v>44721</v>
      </c>
      <c r="G477" s="832">
        <v>44743</v>
      </c>
      <c r="H477" s="832">
        <v>44743</v>
      </c>
      <c r="I477" s="833">
        <v>13241.87</v>
      </c>
      <c r="J477" s="833">
        <v>11765.4</v>
      </c>
      <c r="K477" s="834" t="s">
        <v>705</v>
      </c>
      <c r="L477" s="810" t="str">
        <f t="shared" si="21"/>
        <v>7/2022</v>
      </c>
      <c r="M477" s="835">
        <f>_xlfn.XLOOKUP(L477,'Série Histórica IPCA'!$N$313:$N$447,'Série Histórica IPCA'!$J$313:$J$447,0)</f>
        <v>2.0509773565472171</v>
      </c>
      <c r="N477" s="833">
        <f t="shared" si="22"/>
        <v>6456.3706457941826</v>
      </c>
    </row>
    <row r="478" spans="3:14">
      <c r="C478" s="836" t="s">
        <v>854</v>
      </c>
      <c r="D478" s="842" t="s">
        <v>1296</v>
      </c>
      <c r="E478" s="830" t="s">
        <v>1288</v>
      </c>
      <c r="F478" s="832">
        <v>44721</v>
      </c>
      <c r="G478" s="832">
        <v>44743</v>
      </c>
      <c r="H478" s="832">
        <v>44743</v>
      </c>
      <c r="I478" s="833">
        <v>3088.89</v>
      </c>
      <c r="J478" s="833">
        <v>2744.48</v>
      </c>
      <c r="K478" s="834" t="s">
        <v>705</v>
      </c>
      <c r="L478" s="810" t="str">
        <f t="shared" ref="L478:L525" si="23">MONTH(H478)&amp;"/"&amp;YEAR(H478)</f>
        <v>7/2022</v>
      </c>
      <c r="M478" s="835">
        <f>_xlfn.XLOOKUP(L478,'Série Histórica IPCA'!$N$313:$N$447,'Série Histórica IPCA'!$J$313:$J$447,0)</f>
        <v>2.0509773565472171</v>
      </c>
      <c r="N478" s="833">
        <f t="shared" ref="N478:N525" si="24">I478/M478</f>
        <v>1506.0575828102217</v>
      </c>
    </row>
    <row r="479" spans="3:14">
      <c r="C479" s="838" t="s">
        <v>854</v>
      </c>
      <c r="D479" s="810" t="s">
        <v>1297</v>
      </c>
      <c r="E479" s="838" t="s">
        <v>1298</v>
      </c>
      <c r="F479" s="827">
        <v>44753</v>
      </c>
      <c r="G479" s="827">
        <v>44761</v>
      </c>
      <c r="H479" s="827">
        <v>44761</v>
      </c>
      <c r="I479" s="828">
        <v>33048.22</v>
      </c>
      <c r="J479" s="828">
        <v>28994.25</v>
      </c>
      <c r="K479" s="829" t="s">
        <v>702</v>
      </c>
      <c r="L479" s="810" t="str">
        <f t="shared" si="23"/>
        <v>7/2022</v>
      </c>
      <c r="M479" s="835">
        <f>_xlfn.XLOOKUP(L479,'Série Histórica IPCA'!$N$313:$N$447,'Série Histórica IPCA'!$J$313:$J$447,0)</f>
        <v>2.0509773565472171</v>
      </c>
      <c r="N479" s="828">
        <f t="shared" si="24"/>
        <v>16113.400713324341</v>
      </c>
    </row>
    <row r="480" spans="3:14">
      <c r="C480" s="838" t="s">
        <v>854</v>
      </c>
      <c r="D480" s="810" t="s">
        <v>1299</v>
      </c>
      <c r="E480" s="838" t="s">
        <v>1298</v>
      </c>
      <c r="F480" s="827">
        <v>44753</v>
      </c>
      <c r="G480" s="827">
        <v>44761</v>
      </c>
      <c r="H480" s="827">
        <v>44761</v>
      </c>
      <c r="I480" s="828">
        <v>19862.810000000001</v>
      </c>
      <c r="J480" s="828">
        <v>17648.11</v>
      </c>
      <c r="K480" s="829" t="s">
        <v>702</v>
      </c>
      <c r="L480" s="810" t="str">
        <f t="shared" si="23"/>
        <v>7/2022</v>
      </c>
      <c r="M480" s="835">
        <f>_xlfn.XLOOKUP(L480,'Série Histórica IPCA'!$N$313:$N$447,'Série Histórica IPCA'!$J$313:$J$447,0)</f>
        <v>2.0509773565472171</v>
      </c>
      <c r="N480" s="828">
        <f t="shared" si="24"/>
        <v>9684.5584065533894</v>
      </c>
    </row>
    <row r="481" spans="3:14">
      <c r="C481" s="838" t="s">
        <v>854</v>
      </c>
      <c r="D481" s="810" t="s">
        <v>1300</v>
      </c>
      <c r="E481" s="838" t="s">
        <v>1298</v>
      </c>
      <c r="F481" s="827">
        <v>44753</v>
      </c>
      <c r="G481" s="827">
        <v>44761</v>
      </c>
      <c r="H481" s="827">
        <v>44761</v>
      </c>
      <c r="I481" s="828">
        <v>7709.04</v>
      </c>
      <c r="J481" s="828">
        <v>6849.48</v>
      </c>
      <c r="K481" s="829" t="s">
        <v>702</v>
      </c>
      <c r="L481" s="810" t="str">
        <f t="shared" si="23"/>
        <v>7/2022</v>
      </c>
      <c r="M481" s="835">
        <f>_xlfn.XLOOKUP(L481,'Série Histórica IPCA'!$N$313:$N$447,'Série Histórica IPCA'!$J$313:$J$447,0)</f>
        <v>2.0509773565472171</v>
      </c>
      <c r="N481" s="828">
        <f t="shared" si="24"/>
        <v>3758.7153146234768</v>
      </c>
    </row>
    <row r="482" spans="3:14">
      <c r="C482" s="838" t="s">
        <v>854</v>
      </c>
      <c r="D482" s="810" t="s">
        <v>1301</v>
      </c>
      <c r="E482" s="838" t="s">
        <v>1298</v>
      </c>
      <c r="F482" s="827">
        <v>44753</v>
      </c>
      <c r="G482" s="827">
        <v>44761</v>
      </c>
      <c r="H482" s="827">
        <v>44761</v>
      </c>
      <c r="I482" s="828">
        <v>4633.33</v>
      </c>
      <c r="J482" s="828">
        <v>4116.71</v>
      </c>
      <c r="K482" s="829" t="s">
        <v>702</v>
      </c>
      <c r="L482" s="810" t="str">
        <f t="shared" si="23"/>
        <v>7/2022</v>
      </c>
      <c r="M482" s="835">
        <f>_xlfn.XLOOKUP(L482,'Série Histórica IPCA'!$N$313:$N$447,'Série Histórica IPCA'!$J$313:$J$447,0)</f>
        <v>2.0509773565472171</v>
      </c>
      <c r="N482" s="828">
        <f t="shared" si="24"/>
        <v>2259.0839363532154</v>
      </c>
    </row>
    <row r="483" spans="3:14">
      <c r="C483" s="836" t="s">
        <v>854</v>
      </c>
      <c r="D483" s="842" t="s">
        <v>1302</v>
      </c>
      <c r="E483" s="830" t="s">
        <v>1298</v>
      </c>
      <c r="F483" s="832">
        <v>44753</v>
      </c>
      <c r="G483" s="832">
        <v>44761</v>
      </c>
      <c r="H483" s="832">
        <v>44761</v>
      </c>
      <c r="I483" s="833">
        <v>22032.15</v>
      </c>
      <c r="J483" s="833">
        <v>19329.5</v>
      </c>
      <c r="K483" s="834" t="s">
        <v>705</v>
      </c>
      <c r="L483" s="810" t="str">
        <f t="shared" si="23"/>
        <v>7/2022</v>
      </c>
      <c r="M483" s="835">
        <f>_xlfn.XLOOKUP(L483,'Série Histórica IPCA'!$N$313:$N$447,'Série Histórica IPCA'!$J$313:$J$447,0)</f>
        <v>2.0509773565472171</v>
      </c>
      <c r="N483" s="833">
        <f t="shared" si="24"/>
        <v>10742.268767457639</v>
      </c>
    </row>
    <row r="484" spans="3:14">
      <c r="C484" s="836" t="s">
        <v>854</v>
      </c>
      <c r="D484" s="842" t="s">
        <v>1303</v>
      </c>
      <c r="E484" s="830" t="s">
        <v>1298</v>
      </c>
      <c r="F484" s="832">
        <v>44753</v>
      </c>
      <c r="G484" s="832">
        <v>44761</v>
      </c>
      <c r="H484" s="832">
        <v>44761</v>
      </c>
      <c r="I484" s="833">
        <v>13241.87</v>
      </c>
      <c r="J484" s="833">
        <v>11765.4</v>
      </c>
      <c r="K484" s="834" t="s">
        <v>705</v>
      </c>
      <c r="L484" s="810" t="str">
        <f t="shared" si="23"/>
        <v>7/2022</v>
      </c>
      <c r="M484" s="835">
        <f>_xlfn.XLOOKUP(L484,'Série Histórica IPCA'!$N$313:$N$447,'Série Histórica IPCA'!$J$313:$J$447,0)</f>
        <v>2.0509773565472171</v>
      </c>
      <c r="N484" s="833">
        <f t="shared" si="24"/>
        <v>6456.3706457941826</v>
      </c>
    </row>
    <row r="485" spans="3:14">
      <c r="C485" s="836" t="s">
        <v>854</v>
      </c>
      <c r="D485" s="842" t="s">
        <v>1304</v>
      </c>
      <c r="E485" s="830" t="s">
        <v>1298</v>
      </c>
      <c r="F485" s="832">
        <v>44753</v>
      </c>
      <c r="G485" s="832">
        <v>44761</v>
      </c>
      <c r="H485" s="832">
        <v>44761</v>
      </c>
      <c r="I485" s="833">
        <v>5139.3599999999997</v>
      </c>
      <c r="J485" s="833">
        <v>4566.32</v>
      </c>
      <c r="K485" s="834" t="s">
        <v>705</v>
      </c>
      <c r="L485" s="810" t="str">
        <f t="shared" si="23"/>
        <v>7/2022</v>
      </c>
      <c r="M485" s="835">
        <f>_xlfn.XLOOKUP(L485,'Série Histórica IPCA'!$N$313:$N$447,'Série Histórica IPCA'!$J$313:$J$447,0)</f>
        <v>2.0509773565472171</v>
      </c>
      <c r="N485" s="833">
        <f t="shared" si="24"/>
        <v>2505.8102097489846</v>
      </c>
    </row>
    <row r="486" spans="3:14">
      <c r="C486" s="836" t="s">
        <v>854</v>
      </c>
      <c r="D486" s="842" t="s">
        <v>1305</v>
      </c>
      <c r="E486" s="830" t="s">
        <v>1298</v>
      </c>
      <c r="F486" s="832">
        <v>44753</v>
      </c>
      <c r="G486" s="832">
        <v>44761</v>
      </c>
      <c r="H486" s="832">
        <v>44761</v>
      </c>
      <c r="I486" s="833">
        <v>3088.89</v>
      </c>
      <c r="J486" s="833">
        <v>2744.48</v>
      </c>
      <c r="K486" s="834" t="s">
        <v>705</v>
      </c>
      <c r="L486" s="810" t="str">
        <f t="shared" si="23"/>
        <v>7/2022</v>
      </c>
      <c r="M486" s="835">
        <f>_xlfn.XLOOKUP(L486,'Série Histórica IPCA'!$N$313:$N$447,'Série Histórica IPCA'!$J$313:$J$447,0)</f>
        <v>2.0509773565472171</v>
      </c>
      <c r="N486" s="833">
        <f t="shared" si="24"/>
        <v>1506.0575828102217</v>
      </c>
    </row>
    <row r="487" spans="3:14">
      <c r="C487" s="838" t="s">
        <v>854</v>
      </c>
      <c r="D487" s="810" t="s">
        <v>1306</v>
      </c>
      <c r="E487" s="838" t="s">
        <v>1307</v>
      </c>
      <c r="F487" s="827">
        <v>44901</v>
      </c>
      <c r="G487" s="827">
        <v>44909</v>
      </c>
      <c r="H487" s="827">
        <v>44909</v>
      </c>
      <c r="I487" s="828">
        <v>9697.5300000000007</v>
      </c>
      <c r="J487" s="828">
        <v>8373.2900000000009</v>
      </c>
      <c r="K487" s="829" t="s">
        <v>702</v>
      </c>
      <c r="L487" s="810" t="str">
        <f t="shared" si="23"/>
        <v>12/2022</v>
      </c>
      <c r="M487" s="835">
        <f>_xlfn.XLOOKUP(L487,'Série Histórica IPCA'!$N$313:$N$447,'Série Histórica IPCA'!$J$313:$J$447,0)</f>
        <v>2.0708539514888256</v>
      </c>
      <c r="N487" s="828">
        <f t="shared" si="24"/>
        <v>4682.8652464979632</v>
      </c>
    </row>
    <row r="488" spans="3:14">
      <c r="C488" s="838" t="s">
        <v>854</v>
      </c>
      <c r="D488" s="810" t="s">
        <v>1308</v>
      </c>
      <c r="E488" s="838" t="s">
        <v>1307</v>
      </c>
      <c r="F488" s="827">
        <v>44901</v>
      </c>
      <c r="G488" s="827">
        <v>44909</v>
      </c>
      <c r="H488" s="827">
        <v>44909</v>
      </c>
      <c r="I488" s="828">
        <v>5828.46</v>
      </c>
      <c r="J488" s="828">
        <v>5178.6000000000004</v>
      </c>
      <c r="K488" s="829" t="s">
        <v>702</v>
      </c>
      <c r="L488" s="810" t="str">
        <f t="shared" si="23"/>
        <v>12/2022</v>
      </c>
      <c r="M488" s="835">
        <f>_xlfn.XLOOKUP(L488,'Série Histórica IPCA'!$N$313:$N$447,'Série Histórica IPCA'!$J$313:$J$447,0)</f>
        <v>2.0708539514888256</v>
      </c>
      <c r="N488" s="828">
        <f t="shared" si="24"/>
        <v>2814.5200658934305</v>
      </c>
    </row>
    <row r="489" spans="3:14">
      <c r="C489" s="838" t="s">
        <v>854</v>
      </c>
      <c r="D489" s="810" t="s">
        <v>1309</v>
      </c>
      <c r="E489" s="838" t="s">
        <v>1310</v>
      </c>
      <c r="F489" s="827">
        <v>44901</v>
      </c>
      <c r="G489" s="827">
        <v>44909</v>
      </c>
      <c r="H489" s="827">
        <v>44909</v>
      </c>
      <c r="I489" s="828">
        <v>2262.11</v>
      </c>
      <c r="J489" s="828">
        <v>2009.88</v>
      </c>
      <c r="K489" s="829" t="s">
        <v>702</v>
      </c>
      <c r="L489" s="810" t="str">
        <f t="shared" si="23"/>
        <v>12/2022</v>
      </c>
      <c r="M489" s="835">
        <f>_xlfn.XLOOKUP(L489,'Série Histórica IPCA'!$N$313:$N$447,'Série Histórica IPCA'!$J$313:$J$447,0)</f>
        <v>2.0708539514888256</v>
      </c>
      <c r="N489" s="828">
        <f t="shared" si="24"/>
        <v>1092.3561260192553</v>
      </c>
    </row>
    <row r="490" spans="3:14">
      <c r="C490" s="838" t="s">
        <v>854</v>
      </c>
      <c r="D490" s="810" t="s">
        <v>1311</v>
      </c>
      <c r="E490" s="838" t="s">
        <v>1310</v>
      </c>
      <c r="F490" s="827">
        <v>44901</v>
      </c>
      <c r="G490" s="827">
        <v>44909</v>
      </c>
      <c r="H490" s="827">
        <v>44909</v>
      </c>
      <c r="I490" s="828">
        <v>1359.59</v>
      </c>
      <c r="J490" s="828">
        <v>1207.99</v>
      </c>
      <c r="K490" s="829" t="s">
        <v>702</v>
      </c>
      <c r="L490" s="810" t="str">
        <f t="shared" si="23"/>
        <v>12/2022</v>
      </c>
      <c r="M490" s="835">
        <f>_xlfn.XLOOKUP(L490,'Série Histórica IPCA'!$N$313:$N$447,'Série Histórica IPCA'!$J$313:$J$447,0)</f>
        <v>2.0708539514888256</v>
      </c>
      <c r="N490" s="828">
        <f t="shared" si="24"/>
        <v>656.53591795912621</v>
      </c>
    </row>
    <row r="491" spans="3:14">
      <c r="C491" s="838" t="s">
        <v>854</v>
      </c>
      <c r="D491" s="810" t="s">
        <v>1312</v>
      </c>
      <c r="E491" s="838" t="s">
        <v>1310</v>
      </c>
      <c r="F491" s="827">
        <v>44903</v>
      </c>
      <c r="G491" s="827">
        <v>44909</v>
      </c>
      <c r="H491" s="827">
        <v>44909</v>
      </c>
      <c r="I491" s="828">
        <v>21881.79</v>
      </c>
      <c r="J491" s="828">
        <v>18893.8</v>
      </c>
      <c r="K491" s="829" t="s">
        <v>702</v>
      </c>
      <c r="L491" s="810" t="str">
        <f t="shared" si="23"/>
        <v>12/2022</v>
      </c>
      <c r="M491" s="835">
        <f>_xlfn.XLOOKUP(L491,'Série Histórica IPCA'!$N$313:$N$447,'Série Histórica IPCA'!$J$313:$J$447,0)</f>
        <v>2.0708539514888256</v>
      </c>
      <c r="N491" s="828">
        <f t="shared" si="24"/>
        <v>10566.553949528041</v>
      </c>
    </row>
    <row r="492" spans="3:14">
      <c r="C492" s="838" t="s">
        <v>854</v>
      </c>
      <c r="D492" s="810" t="s">
        <v>1313</v>
      </c>
      <c r="E492" s="838" t="s">
        <v>1310</v>
      </c>
      <c r="F492" s="827">
        <v>44903</v>
      </c>
      <c r="G492" s="827">
        <v>44909</v>
      </c>
      <c r="H492" s="827">
        <v>44909</v>
      </c>
      <c r="I492" s="828">
        <v>13151.5</v>
      </c>
      <c r="J492" s="828">
        <v>11685.1</v>
      </c>
      <c r="K492" s="829" t="s">
        <v>702</v>
      </c>
      <c r="L492" s="810" t="str">
        <f t="shared" si="23"/>
        <v>12/2022</v>
      </c>
      <c r="M492" s="835">
        <f>_xlfn.XLOOKUP(L492,'Série Histórica IPCA'!$N$313:$N$447,'Série Histórica IPCA'!$J$313:$J$447,0)</f>
        <v>2.0708539514888256</v>
      </c>
      <c r="N492" s="828">
        <f t="shared" si="24"/>
        <v>6350.76171863536</v>
      </c>
    </row>
    <row r="493" spans="3:14">
      <c r="C493" s="838" t="s">
        <v>854</v>
      </c>
      <c r="D493" s="810" t="s">
        <v>1314</v>
      </c>
      <c r="E493" s="838" t="s">
        <v>1310</v>
      </c>
      <c r="F493" s="827">
        <v>44903</v>
      </c>
      <c r="G493" s="827">
        <v>44909</v>
      </c>
      <c r="H493" s="827">
        <v>44909</v>
      </c>
      <c r="I493" s="828">
        <v>5104.2700000000004</v>
      </c>
      <c r="J493" s="828">
        <v>4535.1499999999996</v>
      </c>
      <c r="K493" s="829" t="s">
        <v>702</v>
      </c>
      <c r="L493" s="810" t="str">
        <f t="shared" si="23"/>
        <v>12/2022</v>
      </c>
      <c r="M493" s="835">
        <f>_xlfn.XLOOKUP(L493,'Série Histórica IPCA'!$N$313:$N$447,'Série Histórica IPCA'!$J$313:$J$447,0)</f>
        <v>2.0708539514888256</v>
      </c>
      <c r="N493" s="828">
        <f t="shared" si="24"/>
        <v>2464.8140909842155</v>
      </c>
    </row>
    <row r="494" spans="3:14">
      <c r="C494" s="838" t="s">
        <v>854</v>
      </c>
      <c r="D494" s="810" t="s">
        <v>1315</v>
      </c>
      <c r="E494" s="838" t="s">
        <v>1310</v>
      </c>
      <c r="F494" s="827">
        <v>44903</v>
      </c>
      <c r="G494" s="827">
        <v>44909</v>
      </c>
      <c r="H494" s="827">
        <v>44909</v>
      </c>
      <c r="I494" s="828">
        <v>3067.82</v>
      </c>
      <c r="J494" s="828">
        <v>2725.76</v>
      </c>
      <c r="K494" s="829" t="s">
        <v>702</v>
      </c>
      <c r="L494" s="810" t="str">
        <f t="shared" si="23"/>
        <v>12/2022</v>
      </c>
      <c r="M494" s="835">
        <f>_xlfn.XLOOKUP(L494,'Série Histórica IPCA'!$N$313:$N$447,'Série Histórica IPCA'!$J$313:$J$447,0)</f>
        <v>2.0708539514888256</v>
      </c>
      <c r="N494" s="828">
        <f t="shared" si="24"/>
        <v>1481.4275037572847</v>
      </c>
    </row>
    <row r="495" spans="3:14">
      <c r="C495" s="836" t="s">
        <v>854</v>
      </c>
      <c r="D495" s="842" t="s">
        <v>1316</v>
      </c>
      <c r="E495" s="830" t="s">
        <v>1310</v>
      </c>
      <c r="F495" s="832">
        <v>44901</v>
      </c>
      <c r="G495" s="832">
        <v>44909</v>
      </c>
      <c r="H495" s="832">
        <v>44909</v>
      </c>
      <c r="I495" s="833">
        <v>6465.02</v>
      </c>
      <c r="J495" s="833">
        <v>5582.21</v>
      </c>
      <c r="K495" s="834" t="s">
        <v>705</v>
      </c>
      <c r="L495" s="810" t="str">
        <f t="shared" si="23"/>
        <v>12/2022</v>
      </c>
      <c r="M495" s="835">
        <f>_xlfn.XLOOKUP(L495,'Série Histórica IPCA'!$N$313:$N$447,'Série Histórica IPCA'!$J$313:$J$447,0)</f>
        <v>2.0708539514888256</v>
      </c>
      <c r="N495" s="833">
        <f t="shared" si="24"/>
        <v>3121.9101643319755</v>
      </c>
    </row>
    <row r="496" spans="3:14">
      <c r="C496" s="836" t="s">
        <v>854</v>
      </c>
      <c r="D496" s="842" t="s">
        <v>1317</v>
      </c>
      <c r="E496" s="830" t="s">
        <v>1310</v>
      </c>
      <c r="F496" s="832">
        <v>44901</v>
      </c>
      <c r="G496" s="832">
        <v>44909</v>
      </c>
      <c r="H496" s="832">
        <v>44909</v>
      </c>
      <c r="I496" s="833">
        <v>1508.07</v>
      </c>
      <c r="J496" s="833">
        <v>1339.93</v>
      </c>
      <c r="K496" s="834" t="s">
        <v>705</v>
      </c>
      <c r="L496" s="810" t="str">
        <f t="shared" si="23"/>
        <v>12/2022</v>
      </c>
      <c r="M496" s="835">
        <f>_xlfn.XLOOKUP(L496,'Série Histórica IPCA'!$N$313:$N$447,'Série Histórica IPCA'!$J$313:$J$447,0)</f>
        <v>2.0708539514888256</v>
      </c>
      <c r="N496" s="833">
        <f t="shared" si="24"/>
        <v>728.23580770424871</v>
      </c>
    </row>
    <row r="497" spans="3:14">
      <c r="C497" s="836" t="s">
        <v>854</v>
      </c>
      <c r="D497" s="842" t="s">
        <v>1318</v>
      </c>
      <c r="E497" s="830" t="s">
        <v>1310</v>
      </c>
      <c r="F497" s="832">
        <v>44901</v>
      </c>
      <c r="G497" s="832">
        <v>44909</v>
      </c>
      <c r="H497" s="832">
        <v>44909</v>
      </c>
      <c r="I497" s="833">
        <v>906.39</v>
      </c>
      <c r="J497" s="833">
        <v>805.33</v>
      </c>
      <c r="K497" s="830" t="s">
        <v>705</v>
      </c>
      <c r="L497" s="810" t="str">
        <f t="shared" si="23"/>
        <v>12/2022</v>
      </c>
      <c r="M497" s="835">
        <f>_xlfn.XLOOKUP(L497,'Série Histórica IPCA'!$N$313:$N$447,'Série Histórica IPCA'!$J$313:$J$447,0)</f>
        <v>2.0708539514888256</v>
      </c>
      <c r="N497" s="833">
        <f t="shared" si="24"/>
        <v>437.68900233082945</v>
      </c>
    </row>
    <row r="498" spans="3:14">
      <c r="C498" s="836" t="s">
        <v>854</v>
      </c>
      <c r="D498" s="842" t="s">
        <v>1319</v>
      </c>
      <c r="E498" s="830" t="s">
        <v>1310</v>
      </c>
      <c r="F498" s="832">
        <v>44901</v>
      </c>
      <c r="G498" s="832">
        <v>44909</v>
      </c>
      <c r="H498" s="832">
        <v>44909</v>
      </c>
      <c r="I498" s="833">
        <v>3885.64</v>
      </c>
      <c r="J498" s="833">
        <v>3452.4</v>
      </c>
      <c r="K498" s="834" t="s">
        <v>705</v>
      </c>
      <c r="L498" s="810" t="str">
        <f t="shared" si="23"/>
        <v>12/2022</v>
      </c>
      <c r="M498" s="835">
        <f>_xlfn.XLOOKUP(L498,'Série Histórica IPCA'!$N$313:$N$447,'Série Histórica IPCA'!$J$313:$J$447,0)</f>
        <v>2.0708539514888256</v>
      </c>
      <c r="N498" s="833">
        <f t="shared" si="24"/>
        <v>1876.3467105956202</v>
      </c>
    </row>
    <row r="499" spans="3:14">
      <c r="C499" s="836" t="s">
        <v>854</v>
      </c>
      <c r="D499" s="842" t="s">
        <v>1320</v>
      </c>
      <c r="E499" s="830" t="s">
        <v>1310</v>
      </c>
      <c r="F499" s="832">
        <v>44903</v>
      </c>
      <c r="G499" s="832">
        <v>44909</v>
      </c>
      <c r="H499" s="832">
        <v>44909</v>
      </c>
      <c r="I499" s="833">
        <v>14587.85</v>
      </c>
      <c r="J499" s="833">
        <v>12595.85</v>
      </c>
      <c r="K499" s="834" t="s">
        <v>705</v>
      </c>
      <c r="L499" s="810" t="str">
        <f t="shared" si="23"/>
        <v>12/2022</v>
      </c>
      <c r="M499" s="835">
        <f>_xlfn.XLOOKUP(L499,'Série Histórica IPCA'!$N$313:$N$447,'Série Histórica IPCA'!$J$313:$J$447,0)</f>
        <v>2.0708539514888256</v>
      </c>
      <c r="N499" s="833">
        <f t="shared" si="24"/>
        <v>7044.3644707595968</v>
      </c>
    </row>
    <row r="500" spans="3:14">
      <c r="C500" s="836" t="s">
        <v>854</v>
      </c>
      <c r="D500" s="842" t="s">
        <v>1321</v>
      </c>
      <c r="E500" s="830" t="s">
        <v>1310</v>
      </c>
      <c r="F500" s="832">
        <v>44903</v>
      </c>
      <c r="G500" s="832">
        <v>44909</v>
      </c>
      <c r="H500" s="832">
        <v>44909</v>
      </c>
      <c r="I500" s="833">
        <v>3402.86</v>
      </c>
      <c r="J500" s="833">
        <v>3023.44</v>
      </c>
      <c r="K500" s="834" t="s">
        <v>705</v>
      </c>
      <c r="L500" s="810" t="str">
        <f t="shared" si="23"/>
        <v>12/2022</v>
      </c>
      <c r="M500" s="835">
        <f>_xlfn.XLOOKUP(L500,'Série Histórica IPCA'!$N$313:$N$447,'Série Histórica IPCA'!$J$313:$J$447,0)</f>
        <v>2.0708539514888256</v>
      </c>
      <c r="N500" s="833">
        <f t="shared" si="24"/>
        <v>1643.2158325571625</v>
      </c>
    </row>
    <row r="501" spans="3:14">
      <c r="C501" s="836" t="s">
        <v>854</v>
      </c>
      <c r="D501" s="842" t="s">
        <v>1322</v>
      </c>
      <c r="E501" s="830" t="s">
        <v>1310</v>
      </c>
      <c r="F501" s="832">
        <v>44903</v>
      </c>
      <c r="G501" s="832">
        <v>44909</v>
      </c>
      <c r="H501" s="832">
        <v>44909</v>
      </c>
      <c r="I501" s="833">
        <v>2045.2</v>
      </c>
      <c r="J501" s="833">
        <v>1817.16</v>
      </c>
      <c r="K501" s="834" t="s">
        <v>705</v>
      </c>
      <c r="L501" s="810" t="str">
        <f t="shared" si="23"/>
        <v>12/2022</v>
      </c>
      <c r="M501" s="835">
        <f>_xlfn.XLOOKUP(L501,'Série Histórica IPCA'!$N$313:$N$447,'Série Histórica IPCA'!$J$313:$J$447,0)</f>
        <v>2.0708539514888256</v>
      </c>
      <c r="N501" s="833">
        <f t="shared" si="24"/>
        <v>987.61189727050441</v>
      </c>
    </row>
    <row r="502" spans="3:14">
      <c r="C502" s="836" t="s">
        <v>854</v>
      </c>
      <c r="D502" s="842" t="s">
        <v>1323</v>
      </c>
      <c r="E502" s="830" t="s">
        <v>1310</v>
      </c>
      <c r="F502" s="832">
        <v>44903</v>
      </c>
      <c r="G502" s="832">
        <v>44909</v>
      </c>
      <c r="H502" s="832">
        <v>44909</v>
      </c>
      <c r="I502" s="833">
        <v>8767.67</v>
      </c>
      <c r="J502" s="833">
        <v>7790.07</v>
      </c>
      <c r="K502" s="834" t="s">
        <v>705</v>
      </c>
      <c r="L502" s="810" t="str">
        <f t="shared" si="23"/>
        <v>12/2022</v>
      </c>
      <c r="M502" s="835">
        <f>_xlfn.XLOOKUP(L502,'Série Histórica IPCA'!$N$313:$N$447,'Série Histórica IPCA'!$J$313:$J$447,0)</f>
        <v>2.0708539514888256</v>
      </c>
      <c r="N502" s="833">
        <f t="shared" si="24"/>
        <v>4233.8427553988276</v>
      </c>
    </row>
    <row r="503" spans="3:14">
      <c r="C503" s="836"/>
      <c r="D503" s="842"/>
      <c r="E503" s="830" t="s">
        <v>1324</v>
      </c>
      <c r="F503" s="832">
        <v>45000</v>
      </c>
      <c r="G503" s="832">
        <v>45000</v>
      </c>
      <c r="H503" s="832">
        <v>45000</v>
      </c>
      <c r="I503" s="833">
        <v>108606.79</v>
      </c>
      <c r="J503" s="833">
        <v>108606.79</v>
      </c>
      <c r="K503" s="834" t="s">
        <v>1325</v>
      </c>
      <c r="L503" s="810" t="str">
        <f t="shared" si="23"/>
        <v>3/2023</v>
      </c>
      <c r="M503" s="835">
        <f>_xlfn.XLOOKUP(L503,'Série Histórica IPCA'!$N$313:$N$447,'Série Histórica IPCA'!$J$313:$J$447,0)</f>
        <v>2.1142216493031678</v>
      </c>
      <c r="N503" s="833">
        <f t="shared" si="24"/>
        <v>51369.632902868063</v>
      </c>
    </row>
    <row r="504" spans="3:14">
      <c r="C504" s="836"/>
      <c r="D504" s="842"/>
      <c r="E504" s="830" t="s">
        <v>1326</v>
      </c>
      <c r="F504" s="832">
        <v>45014</v>
      </c>
      <c r="G504" s="832">
        <v>45014</v>
      </c>
      <c r="H504" s="832">
        <v>45014</v>
      </c>
      <c r="I504" s="833">
        <v>88415.43</v>
      </c>
      <c r="J504" s="833">
        <v>88415.43</v>
      </c>
      <c r="K504" s="834" t="s">
        <v>1325</v>
      </c>
      <c r="L504" s="810" t="str">
        <f t="shared" si="23"/>
        <v>3/2023</v>
      </c>
      <c r="M504" s="835">
        <f>_xlfn.XLOOKUP(L504,'Série Histórica IPCA'!$N$313:$N$447,'Série Histórica IPCA'!$J$313:$J$447,0)</f>
        <v>2.1142216493031678</v>
      </c>
      <c r="N504" s="833">
        <f t="shared" si="24"/>
        <v>41819.375952914437</v>
      </c>
    </row>
    <row r="505" spans="3:14">
      <c r="C505" s="836"/>
      <c r="D505" s="842"/>
      <c r="E505" s="830" t="s">
        <v>1327</v>
      </c>
      <c r="F505" s="832">
        <v>45056</v>
      </c>
      <c r="G505" s="832">
        <v>45056</v>
      </c>
      <c r="H505" s="832">
        <v>45056</v>
      </c>
      <c r="I505" s="833">
        <v>82032.649999999994</v>
      </c>
      <c r="J505" s="833">
        <v>82032.649999999994</v>
      </c>
      <c r="K505" s="834" t="s">
        <v>1325</v>
      </c>
      <c r="L505" s="810" t="str">
        <f t="shared" si="23"/>
        <v>5/2023</v>
      </c>
      <c r="M505" s="835">
        <f>_xlfn.XLOOKUP(L505,'Série Histórica IPCA'!$N$313:$N$447,'Série Histórica IPCA'!$J$313:$J$447,0)</f>
        <v>2.1320095064757267</v>
      </c>
      <c r="N505" s="833">
        <f t="shared" si="24"/>
        <v>38476.681154955229</v>
      </c>
    </row>
    <row r="506" spans="3:14">
      <c r="C506" s="836"/>
      <c r="D506" s="842"/>
      <c r="E506" s="830" t="s">
        <v>1328</v>
      </c>
      <c r="F506" s="832">
        <v>45056</v>
      </c>
      <c r="G506" s="832">
        <v>45056</v>
      </c>
      <c r="H506" s="832">
        <v>45056</v>
      </c>
      <c r="I506" s="833">
        <v>91389.88</v>
      </c>
      <c r="J506" s="833">
        <v>91389.88</v>
      </c>
      <c r="K506" s="834" t="s">
        <v>1325</v>
      </c>
      <c r="L506" s="810" t="str">
        <f t="shared" si="23"/>
        <v>5/2023</v>
      </c>
      <c r="M506" s="835">
        <f>_xlfn.XLOOKUP(L506,'Série Histórica IPCA'!$N$313:$N$447,'Série Histórica IPCA'!$J$313:$J$447,0)</f>
        <v>2.1320095064757267</v>
      </c>
      <c r="N506" s="833">
        <f t="shared" si="24"/>
        <v>42865.60623787748</v>
      </c>
    </row>
    <row r="507" spans="3:14">
      <c r="C507" s="836"/>
      <c r="D507" s="842"/>
      <c r="E507" s="830" t="s">
        <v>1329</v>
      </c>
      <c r="F507" s="832">
        <v>45163</v>
      </c>
      <c r="G507" s="832">
        <v>45163</v>
      </c>
      <c r="H507" s="832">
        <v>45163</v>
      </c>
      <c r="I507" s="833">
        <v>70428.94</v>
      </c>
      <c r="J507" s="833">
        <v>70428.94</v>
      </c>
      <c r="K507" s="834" t="s">
        <v>1325</v>
      </c>
      <c r="L507" s="810" t="str">
        <f t="shared" si="23"/>
        <v>8/2023</v>
      </c>
      <c r="M507" s="835">
        <f>_xlfn.XLOOKUP(L507,'Série Histórica IPCA'!$N$313:$N$447,'Série Histórica IPCA'!$J$313:$J$447,0)</f>
        <v>2.1377671297288479</v>
      </c>
      <c r="N507" s="833">
        <f t="shared" si="24"/>
        <v>32945.094449521792</v>
      </c>
    </row>
    <row r="508" spans="3:14">
      <c r="C508" s="836"/>
      <c r="D508" s="842"/>
      <c r="E508" s="830" t="s">
        <v>1330</v>
      </c>
      <c r="F508" s="832">
        <v>45163</v>
      </c>
      <c r="G508" s="832">
        <v>45163</v>
      </c>
      <c r="H508" s="832">
        <v>45163</v>
      </c>
      <c r="I508" s="833">
        <v>82032.850000000006</v>
      </c>
      <c r="J508" s="833">
        <v>82032.850000000006</v>
      </c>
      <c r="K508" s="834" t="s">
        <v>1325</v>
      </c>
      <c r="L508" s="810" t="str">
        <f t="shared" si="23"/>
        <v>8/2023</v>
      </c>
      <c r="M508" s="835">
        <f>_xlfn.XLOOKUP(L508,'Série Histórica IPCA'!$N$313:$N$447,'Série Histórica IPCA'!$J$313:$J$447,0)</f>
        <v>2.1377671297288479</v>
      </c>
      <c r="N508" s="833">
        <f t="shared" si="24"/>
        <v>38373.145914356428</v>
      </c>
    </row>
    <row r="509" spans="3:14">
      <c r="C509" s="836"/>
      <c r="D509" s="842"/>
      <c r="E509" s="830" t="s">
        <v>1331</v>
      </c>
      <c r="F509" s="832">
        <v>45198</v>
      </c>
      <c r="G509" s="832">
        <v>45198</v>
      </c>
      <c r="H509" s="832">
        <v>45198</v>
      </c>
      <c r="I509" s="833">
        <v>70792.02</v>
      </c>
      <c r="J509" s="833">
        <v>70792.02</v>
      </c>
      <c r="K509" s="834" t="s">
        <v>1325</v>
      </c>
      <c r="L509" s="810" t="str">
        <f t="shared" si="23"/>
        <v>9/2023</v>
      </c>
      <c r="M509" s="835">
        <f>_xlfn.XLOOKUP(L509,'Série Histórica IPCA'!$N$313:$N$447,'Série Histórica IPCA'!$J$313:$J$447,0)</f>
        <v>2.1433264348476948</v>
      </c>
      <c r="N509" s="833">
        <f t="shared" si="24"/>
        <v>33029.042542943534</v>
      </c>
    </row>
    <row r="510" spans="3:14">
      <c r="C510" s="836"/>
      <c r="D510" s="842"/>
      <c r="E510" s="830" t="s">
        <v>1330</v>
      </c>
      <c r="F510" s="832">
        <v>45198</v>
      </c>
      <c r="G510" s="832">
        <v>45198</v>
      </c>
      <c r="H510" s="832">
        <v>45198</v>
      </c>
      <c r="I510" s="833">
        <v>167632.04</v>
      </c>
      <c r="J510" s="833">
        <v>167632.04</v>
      </c>
      <c r="K510" s="834" t="s">
        <v>1325</v>
      </c>
      <c r="L510" s="810" t="str">
        <f t="shared" si="23"/>
        <v>9/2023</v>
      </c>
      <c r="M510" s="835">
        <f>_xlfn.XLOOKUP(L510,'Série Histórica IPCA'!$N$313:$N$447,'Série Histórica IPCA'!$J$313:$J$447,0)</f>
        <v>2.1433264348476948</v>
      </c>
      <c r="N510" s="833">
        <f t="shared" si="24"/>
        <v>78211.156860906252</v>
      </c>
    </row>
    <row r="511" spans="3:14">
      <c r="D511" s="842">
        <v>16393</v>
      </c>
      <c r="E511" s="830"/>
      <c r="F511" s="832"/>
      <c r="H511" s="832">
        <v>45238</v>
      </c>
      <c r="I511" s="833">
        <v>79786.17</v>
      </c>
      <c r="J511" s="833"/>
      <c r="K511" s="834"/>
      <c r="L511" s="810" t="str">
        <f t="shared" si="23"/>
        <v>11/2023</v>
      </c>
      <c r="M511" s="835">
        <f>_xlfn.XLOOKUP(L511,'Série Histórica IPCA'!$N$313:$N$447,'Série Histórica IPCA'!$J$313:$J$447,0)</f>
        <v>2.1544866279199946</v>
      </c>
      <c r="N511" s="833">
        <f t="shared" si="24"/>
        <v>37032.566814781276</v>
      </c>
    </row>
    <row r="512" spans="3:14">
      <c r="D512" s="842">
        <v>16654</v>
      </c>
      <c r="E512" s="830"/>
      <c r="F512" s="832"/>
      <c r="H512" s="832">
        <v>45246</v>
      </c>
      <c r="I512" s="833">
        <v>70428.94</v>
      </c>
      <c r="J512" s="833"/>
      <c r="K512" s="834"/>
      <c r="L512" s="810" t="str">
        <f t="shared" si="23"/>
        <v>11/2023</v>
      </c>
      <c r="M512" s="835">
        <f>_xlfn.XLOOKUP(L512,'Série Histórica IPCA'!$N$313:$N$447,'Série Histórica IPCA'!$J$313:$J$447,0)</f>
        <v>2.1544866279199946</v>
      </c>
      <c r="N512" s="833">
        <f t="shared" si="24"/>
        <v>32689.430088500569</v>
      </c>
    </row>
    <row r="513" spans="4:14">
      <c r="D513" s="842">
        <v>17628</v>
      </c>
      <c r="E513" s="830"/>
      <c r="F513" s="832"/>
      <c r="H513" s="832">
        <v>45275</v>
      </c>
      <c r="I513" s="833">
        <v>70792.02</v>
      </c>
      <c r="J513" s="833"/>
      <c r="K513" s="834"/>
      <c r="L513" s="810" t="str">
        <f t="shared" si="23"/>
        <v>12/2023</v>
      </c>
      <c r="M513" s="835">
        <f>_xlfn.XLOOKUP(L513,'Série Histórica IPCA'!$N$313:$N$447,'Série Histórica IPCA'!$J$313:$J$447,0)</f>
        <v>2.1665520473148687</v>
      </c>
      <c r="N513" s="833">
        <f t="shared" si="24"/>
        <v>32674.96854632991</v>
      </c>
    </row>
    <row r="514" spans="4:14">
      <c r="D514" s="842">
        <v>18280</v>
      </c>
      <c r="E514" s="830"/>
      <c r="F514" s="832"/>
      <c r="H514" s="832">
        <v>45296</v>
      </c>
      <c r="I514" s="833">
        <v>190081.82</v>
      </c>
      <c r="J514" s="833"/>
      <c r="K514" s="834"/>
      <c r="L514" s="810" t="str">
        <f t="shared" si="23"/>
        <v>1/2024</v>
      </c>
      <c r="M514" s="835">
        <f>_xlfn.XLOOKUP(L514,'Série Histórica IPCA'!$N$313:$N$447,'Série Histórica IPCA'!$J$313:$J$447,0)</f>
        <v>2.1756522907343849</v>
      </c>
      <c r="N514" s="833">
        <f t="shared" si="24"/>
        <v>87367.738314396949</v>
      </c>
    </row>
    <row r="515" spans="4:14">
      <c r="D515" s="842">
        <v>18825</v>
      </c>
      <c r="E515" s="830"/>
      <c r="F515" s="832"/>
      <c r="H515" s="832">
        <v>45315</v>
      </c>
      <c r="I515" s="833">
        <v>115266.13</v>
      </c>
      <c r="J515" s="833"/>
      <c r="K515" s="834"/>
      <c r="L515" s="810" t="str">
        <f t="shared" si="23"/>
        <v>1/2024</v>
      </c>
      <c r="M515" s="835">
        <f>_xlfn.XLOOKUP(L515,'Série Histórica IPCA'!$N$313:$N$447,'Série Histórica IPCA'!$J$313:$J$447,0)</f>
        <v>2.1756522907343849</v>
      </c>
      <c r="N515" s="833">
        <f t="shared" si="24"/>
        <v>52980.032926627384</v>
      </c>
    </row>
    <row r="516" spans="4:14">
      <c r="D516" s="842">
        <v>19716</v>
      </c>
      <c r="E516" s="830"/>
      <c r="F516" s="832"/>
      <c r="H516" s="832">
        <v>45345</v>
      </c>
      <c r="I516" s="833">
        <v>1625.04</v>
      </c>
      <c r="J516" s="833"/>
      <c r="K516" s="834"/>
      <c r="L516" s="810" t="str">
        <f t="shared" si="23"/>
        <v>2/2024</v>
      </c>
      <c r="M516" s="835">
        <f>_xlfn.XLOOKUP(L516,'Série Histórica IPCA'!$N$313:$N$447,'Série Histórica IPCA'!$J$313:$J$447,0)</f>
        <v>2.1937088369920899</v>
      </c>
      <c r="N516" s="833">
        <f t="shared" si="24"/>
        <v>740.772874046575</v>
      </c>
    </row>
    <row r="517" spans="4:14">
      <c r="D517" s="842">
        <v>20358</v>
      </c>
      <c r="E517" s="830"/>
      <c r="F517" s="832"/>
      <c r="H517" s="832">
        <v>45366</v>
      </c>
      <c r="I517" s="833">
        <v>76042.22</v>
      </c>
      <c r="J517" s="833"/>
      <c r="K517" s="834"/>
      <c r="L517" s="810" t="str">
        <f t="shared" si="23"/>
        <v>3/2024</v>
      </c>
      <c r="M517" s="835">
        <f>_xlfn.XLOOKUP(L517,'Série Histórica IPCA'!$N$313:$N$447,'Série Histórica IPCA'!$J$313:$J$447,0)</f>
        <v>2.1972177884969084</v>
      </c>
      <c r="N517" s="833">
        <f t="shared" si="24"/>
        <v>34608.412692680598</v>
      </c>
    </row>
    <row r="518" spans="4:14">
      <c r="D518" s="842">
        <v>21640</v>
      </c>
      <c r="E518" s="830"/>
      <c r="F518" s="832"/>
      <c r="H518" s="832">
        <v>45406</v>
      </c>
      <c r="I518" s="833">
        <v>75652.210000000006</v>
      </c>
      <c r="J518" s="833"/>
      <c r="K518" s="834"/>
      <c r="L518" s="810" t="str">
        <f t="shared" si="23"/>
        <v>4/2024</v>
      </c>
      <c r="M518" s="835">
        <f>_xlfn.XLOOKUP(L518,'Série Histórica IPCA'!$N$313:$N$447,'Série Histórica IPCA'!$J$313:$J$447,0)</f>
        <v>2.2055663422139342</v>
      </c>
      <c r="N518" s="833">
        <f t="shared" si="24"/>
        <v>34300.582372897828</v>
      </c>
    </row>
    <row r="519" spans="4:14">
      <c r="D519" s="842">
        <v>22127</v>
      </c>
      <c r="E519" s="830"/>
      <c r="F519" s="832"/>
      <c r="H519" s="832">
        <v>45420</v>
      </c>
      <c r="I519" s="833">
        <v>85703.41</v>
      </c>
      <c r="J519" s="833"/>
      <c r="K519" s="834"/>
      <c r="L519" s="810" t="str">
        <f t="shared" si="23"/>
        <v>5/2024</v>
      </c>
      <c r="M519" s="835">
        <f>_xlfn.XLOOKUP(L519,'Série Histórica IPCA'!$N$313:$N$447,'Série Histórica IPCA'!$J$313:$J$447,0)</f>
        <v>2.2157125538577676</v>
      </c>
      <c r="N519" s="833">
        <f t="shared" si="24"/>
        <v>38679.841322730317</v>
      </c>
    </row>
    <row r="520" spans="4:14">
      <c r="D520" s="842">
        <v>23095</v>
      </c>
      <c r="E520" s="830"/>
      <c r="F520" s="832"/>
      <c r="H520" s="832">
        <v>45456</v>
      </c>
      <c r="I520" s="833">
        <v>76042.22</v>
      </c>
      <c r="J520" s="833"/>
      <c r="K520" s="834"/>
      <c r="L520" s="810" t="str">
        <f t="shared" si="23"/>
        <v>6/2024</v>
      </c>
      <c r="M520" s="835">
        <f>_xlfn.XLOOKUP(L520,'Série Histórica IPCA'!$N$313:$N$447,'Série Histórica IPCA'!$J$313:$J$447,0)</f>
        <v>2.2203666326540406</v>
      </c>
      <c r="N520" s="833">
        <f t="shared" si="24"/>
        <v>34247.596267065812</v>
      </c>
    </row>
    <row r="521" spans="4:14">
      <c r="D521" s="842">
        <v>23372</v>
      </c>
      <c r="E521" s="830"/>
      <c r="F521" s="832"/>
      <c r="H521" s="832">
        <v>45462</v>
      </c>
      <c r="I521" s="833">
        <v>27895.99</v>
      </c>
      <c r="J521" s="833"/>
      <c r="K521" s="834"/>
      <c r="L521" s="810" t="str">
        <f t="shared" si="23"/>
        <v>6/2024</v>
      </c>
      <c r="M521" s="835">
        <f>_xlfn.XLOOKUP(L521,'Série Histórica IPCA'!$N$313:$N$447,'Série Histórica IPCA'!$J$313:$J$447,0)</f>
        <v>2.2203666326540406</v>
      </c>
      <c r="N521" s="833">
        <f t="shared" si="24"/>
        <v>12563.686370415082</v>
      </c>
    </row>
    <row r="522" spans="4:14">
      <c r="D522" s="842">
        <v>24397</v>
      </c>
      <c r="E522" s="830"/>
      <c r="F522" s="832"/>
      <c r="H522" s="832">
        <v>45497</v>
      </c>
      <c r="I522" s="833">
        <v>270774.3</v>
      </c>
      <c r="J522" s="833"/>
      <c r="K522" s="834"/>
      <c r="L522" s="810" t="str">
        <f t="shared" si="23"/>
        <v>7/2024</v>
      </c>
      <c r="M522" s="835">
        <f>_xlfn.XLOOKUP(L522,'Série Histórica IPCA'!$N$313:$N$447,'Série Histórica IPCA'!$J$313:$J$447,0)</f>
        <v>2.2288047493994481</v>
      </c>
      <c r="N522" s="833">
        <f t="shared" si="24"/>
        <v>121488.56918622422</v>
      </c>
    </row>
    <row r="523" spans="4:14">
      <c r="D523" s="842">
        <v>24911</v>
      </c>
      <c r="E523" s="830"/>
      <c r="F523" s="832"/>
      <c r="H523" s="832">
        <v>45511</v>
      </c>
      <c r="I523" s="833">
        <v>85703.41</v>
      </c>
      <c r="J523" s="833"/>
      <c r="K523" s="834"/>
      <c r="L523" s="810" t="str">
        <f t="shared" si="23"/>
        <v>8/2024</v>
      </c>
      <c r="M523" s="835">
        <f>_xlfn.XLOOKUP(L523,'Série Histórica IPCA'!$N$313:$N$447,'Série Histórica IPCA'!$J$313:$J$447,0)</f>
        <v>2.2283601329371234</v>
      </c>
      <c r="N523" s="833">
        <f t="shared" si="24"/>
        <v>38460.304837278411</v>
      </c>
    </row>
    <row r="524" spans="4:14">
      <c r="D524" s="842">
        <v>26636</v>
      </c>
      <c r="E524" s="830"/>
      <c r="F524" s="832"/>
      <c r="H524" s="832">
        <v>45555</v>
      </c>
      <c r="I524" s="833">
        <v>76042.22</v>
      </c>
      <c r="J524" s="833"/>
      <c r="K524" s="834"/>
      <c r="L524" s="810" t="str">
        <f t="shared" si="23"/>
        <v>9/2024</v>
      </c>
      <c r="M524" s="835">
        <f>_xlfn.XLOOKUP(L524,'Série Histórica IPCA'!$N$313:$N$447,'Série Histórica IPCA'!$J$313:$J$447,0)</f>
        <v>2.2381640858653546</v>
      </c>
      <c r="N524" s="833">
        <f t="shared" si="24"/>
        <v>33975.265924526415</v>
      </c>
    </row>
    <row r="525" spans="4:14">
      <c r="D525" s="842">
        <v>28064</v>
      </c>
      <c r="E525" s="830"/>
      <c r="F525" s="832"/>
      <c r="H525" s="832">
        <v>45590</v>
      </c>
      <c r="I525" s="833">
        <v>75652.210000000006</v>
      </c>
      <c r="J525" s="833"/>
      <c r="K525" s="834"/>
      <c r="L525" s="810" t="str">
        <f t="shared" si="23"/>
        <v>10/2024</v>
      </c>
      <c r="M525" s="835">
        <f>_xlfn.XLOOKUP(L525,'Série Histórica IPCA'!$N$313:$N$447,'Série Histórica IPCA'!$J$313:$J$447,0)</f>
        <v>2.2506965124796485</v>
      </c>
      <c r="N525" s="833">
        <f t="shared" si="24"/>
        <v>33612.799229271513</v>
      </c>
    </row>
  </sheetData>
  <phoneticPr fontId="14" type="noConversion"/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B7DEEC-2B24-4392-BE95-E3110668F4D6}">
  <sheetPr>
    <tabColor rgb="FF00B050"/>
  </sheetPr>
  <dimension ref="B2:J36"/>
  <sheetViews>
    <sheetView topLeftCell="A3" workbookViewId="0">
      <selection activeCell="D6" sqref="D6"/>
    </sheetView>
  </sheetViews>
  <sheetFormatPr defaultRowHeight="12.75"/>
  <cols>
    <col min="2" max="2" width="34.85546875" bestFit="1" customWidth="1"/>
    <col min="3" max="3" width="11.5703125" customWidth="1"/>
    <col min="4" max="4" width="18.140625" customWidth="1"/>
    <col min="5" max="5" width="17.5703125" customWidth="1"/>
    <col min="8" max="10" width="13" customWidth="1"/>
  </cols>
  <sheetData>
    <row r="2" spans="2:10" ht="15.75">
      <c r="B2" s="869" t="s">
        <v>1459</v>
      </c>
    </row>
    <row r="3" spans="2:10" ht="15.75">
      <c r="B3" s="869"/>
    </row>
    <row r="4" spans="2:10">
      <c r="B4" s="98" t="s">
        <v>1460</v>
      </c>
      <c r="C4" s="845">
        <v>19000.89</v>
      </c>
    </row>
    <row r="5" spans="2:10">
      <c r="B5" s="98" t="s">
        <v>1461</v>
      </c>
      <c r="C5" s="845">
        <v>19768.53</v>
      </c>
    </row>
    <row r="6" spans="2:10">
      <c r="B6" s="875" t="s">
        <v>1478</v>
      </c>
      <c r="C6" s="876">
        <v>20604.259999999998</v>
      </c>
      <c r="D6" s="478">
        <f>(C6-C5)/C5</f>
        <v>4.2275778725074632E-2</v>
      </c>
      <c r="G6" s="935" t="s">
        <v>1334</v>
      </c>
      <c r="H6" s="861" t="s">
        <v>1448</v>
      </c>
      <c r="I6" s="861" t="s">
        <v>1446</v>
      </c>
      <c r="J6" s="861" t="s">
        <v>1447</v>
      </c>
    </row>
    <row r="7" spans="2:10">
      <c r="B7" s="98"/>
      <c r="G7" s="936"/>
      <c r="H7" s="865">
        <v>44504</v>
      </c>
      <c r="I7" s="865">
        <v>44869</v>
      </c>
      <c r="J7" s="865">
        <v>45234</v>
      </c>
    </row>
    <row r="8" spans="2:10">
      <c r="B8" s="862" t="s">
        <v>1334</v>
      </c>
      <c r="C8" s="862" t="s">
        <v>1462</v>
      </c>
      <c r="D8" s="862" t="s">
        <v>1464</v>
      </c>
      <c r="E8" s="862" t="s">
        <v>1463</v>
      </c>
      <c r="G8" s="937"/>
      <c r="H8" s="865">
        <v>44868</v>
      </c>
      <c r="I8" s="865">
        <v>45233</v>
      </c>
      <c r="J8" s="865">
        <v>45599</v>
      </c>
    </row>
    <row r="9" spans="2:10">
      <c r="B9" s="867" t="s">
        <v>1427</v>
      </c>
      <c r="C9" s="863">
        <f t="shared" ref="C9:C24" si="0">$C$4</f>
        <v>19000.89</v>
      </c>
      <c r="D9" s="864">
        <f>_xlfn.XLOOKUP(B9,'Série Histórica IPCA'!$N$313:$N$438,'Série Histórica IPCA'!$J$313:$J$438,0)</f>
        <v>2.0376676507937526</v>
      </c>
      <c r="E9" s="457">
        <f>C9/D9</f>
        <v>9324.822913392376</v>
      </c>
      <c r="G9" s="867">
        <v>44805</v>
      </c>
      <c r="H9" s="457">
        <f>E9</f>
        <v>9324.822913392376</v>
      </c>
      <c r="I9" s="457">
        <v>0</v>
      </c>
      <c r="J9" s="457">
        <v>0</v>
      </c>
    </row>
    <row r="10" spans="2:10">
      <c r="B10" s="867" t="s">
        <v>1428</v>
      </c>
      <c r="C10" s="863">
        <f t="shared" si="0"/>
        <v>19000.89</v>
      </c>
      <c r="D10" s="864">
        <f>_xlfn.XLOOKUP(B10,'Série Histórica IPCA'!$N$313:$N$438,'Série Histórica IPCA'!$J$313:$J$438,0)</f>
        <v>2.0496914873540204</v>
      </c>
      <c r="E10" s="457">
        <f t="shared" ref="E10:E34" si="1">C10/D10</f>
        <v>9270.121926753256</v>
      </c>
      <c r="G10" s="867">
        <v>44835</v>
      </c>
      <c r="H10" s="457">
        <f>E10</f>
        <v>9270.121926753256</v>
      </c>
      <c r="I10" s="457">
        <v>0</v>
      </c>
      <c r="J10" s="457">
        <v>0</v>
      </c>
    </row>
    <row r="11" spans="2:10">
      <c r="B11" s="867" t="s">
        <v>1429</v>
      </c>
      <c r="C11" s="863">
        <f t="shared" si="0"/>
        <v>19000.89</v>
      </c>
      <c r="D11" s="864">
        <f>_xlfn.XLOOKUP(B11,'Série Histórica IPCA'!$N$313:$N$438,'Série Histórica IPCA'!$J$313:$J$438,0)</f>
        <v>2.058094418623992</v>
      </c>
      <c r="E11" s="457">
        <f t="shared" si="1"/>
        <v>9232.2732271455661</v>
      </c>
      <c r="G11" s="867">
        <v>44866</v>
      </c>
      <c r="H11" s="457">
        <f>(E11/30)*3</f>
        <v>923.22732271455675</v>
      </c>
      <c r="I11" s="457">
        <f>(E11/30)*27</f>
        <v>8309.0459044310101</v>
      </c>
      <c r="J11" s="457">
        <v>0</v>
      </c>
    </row>
    <row r="12" spans="2:10">
      <c r="B12" s="867" t="s">
        <v>1430</v>
      </c>
      <c r="C12" s="863">
        <f t="shared" si="0"/>
        <v>19000.89</v>
      </c>
      <c r="D12" s="864">
        <f>_xlfn.XLOOKUP(B12,'Série Histórica IPCA'!$N$313:$N$438,'Série Histórica IPCA'!$J$313:$J$438,0)</f>
        <v>2.0708539514888256</v>
      </c>
      <c r="E12" s="457">
        <f t="shared" si="1"/>
        <v>9175.3887261530181</v>
      </c>
      <c r="G12" s="867">
        <v>44896</v>
      </c>
      <c r="H12" s="457">
        <v>0</v>
      </c>
      <c r="I12" s="457">
        <f t="shared" ref="I12:I22" si="2">E12</f>
        <v>9175.3887261530181</v>
      </c>
      <c r="J12" s="457">
        <v>0</v>
      </c>
    </row>
    <row r="13" spans="2:10">
      <c r="B13" s="867" t="s">
        <v>1431</v>
      </c>
      <c r="C13" s="863">
        <f t="shared" si="0"/>
        <v>19000.89</v>
      </c>
      <c r="D13" s="864">
        <f>_xlfn.XLOOKUP(B13,'Série Histórica IPCA'!$N$313:$N$438,'Série Histórica IPCA'!$J$313:$J$438,0)</f>
        <v>2.0818286211451911</v>
      </c>
      <c r="E13" s="457">
        <f t="shared" si="1"/>
        <v>9127.0192978458617</v>
      </c>
      <c r="G13" s="867">
        <v>44927</v>
      </c>
      <c r="H13" s="457">
        <v>0</v>
      </c>
      <c r="I13" s="457">
        <f t="shared" si="2"/>
        <v>9127.0192978458617</v>
      </c>
      <c r="J13" s="457">
        <v>0</v>
      </c>
    </row>
    <row r="14" spans="2:10">
      <c r="B14" s="867" t="s">
        <v>1432</v>
      </c>
      <c r="C14" s="863">
        <f t="shared" si="0"/>
        <v>19000.89</v>
      </c>
      <c r="D14" s="864">
        <f>_xlfn.XLOOKUP(B14,'Série Histórica IPCA'!$N$313:$N$438,'Série Histórica IPCA'!$J$313:$J$438,0)</f>
        <v>2.0993158024367542</v>
      </c>
      <c r="E14" s="457">
        <f t="shared" si="1"/>
        <v>9050.9917459512089</v>
      </c>
      <c r="G14" s="867">
        <v>44958</v>
      </c>
      <c r="H14" s="457">
        <v>0</v>
      </c>
      <c r="I14" s="457">
        <f t="shared" si="2"/>
        <v>9050.9917459512089</v>
      </c>
      <c r="J14" s="457">
        <v>0</v>
      </c>
    </row>
    <row r="15" spans="2:10">
      <c r="B15" s="867" t="s">
        <v>1433</v>
      </c>
      <c r="C15" s="863">
        <f t="shared" si="0"/>
        <v>19000.89</v>
      </c>
      <c r="D15" s="864">
        <f>_xlfn.XLOOKUP(B15,'Série Histórica IPCA'!$N$313:$N$438,'Série Histórica IPCA'!$J$313:$J$438,0)</f>
        <v>2.1142216493031678</v>
      </c>
      <c r="E15" s="457">
        <f t="shared" si="1"/>
        <v>8987.1797530133863</v>
      </c>
      <c r="G15" s="867">
        <v>44986</v>
      </c>
      <c r="H15" s="457">
        <v>0</v>
      </c>
      <c r="I15" s="457">
        <f t="shared" si="2"/>
        <v>8987.1797530133863</v>
      </c>
      <c r="J15" s="457">
        <v>0</v>
      </c>
    </row>
    <row r="16" spans="2:10">
      <c r="B16" s="867" t="s">
        <v>1434</v>
      </c>
      <c r="C16" s="863">
        <f t="shared" si="0"/>
        <v>19000.89</v>
      </c>
      <c r="D16" s="864">
        <f>_xlfn.XLOOKUP(B16,'Série Histórica IPCA'!$N$313:$N$438,'Série Histórica IPCA'!$J$313:$J$438,0)</f>
        <v>2.1271187253901589</v>
      </c>
      <c r="E16" s="457">
        <f t="shared" si="1"/>
        <v>8932.6889812014761</v>
      </c>
      <c r="G16" s="867">
        <v>45017</v>
      </c>
      <c r="H16" s="457">
        <v>0</v>
      </c>
      <c r="I16" s="457">
        <f t="shared" si="2"/>
        <v>8932.6889812014761</v>
      </c>
      <c r="J16" s="457">
        <v>0</v>
      </c>
    </row>
    <row r="17" spans="2:10">
      <c r="B17" s="867" t="s">
        <v>1435</v>
      </c>
      <c r="C17" s="863">
        <f t="shared" si="0"/>
        <v>19000.89</v>
      </c>
      <c r="D17" s="864">
        <f>_xlfn.XLOOKUP(B17,'Série Histórica IPCA'!$N$313:$N$438,'Série Histórica IPCA'!$J$313:$J$438,0)</f>
        <v>2.1320095064757267</v>
      </c>
      <c r="E17" s="457">
        <f t="shared" si="1"/>
        <v>8912.1975968151382</v>
      </c>
      <c r="G17" s="867">
        <v>45047</v>
      </c>
      <c r="H17" s="457">
        <v>0</v>
      </c>
      <c r="I17" s="457">
        <f t="shared" si="2"/>
        <v>8912.1975968151382</v>
      </c>
      <c r="J17" s="457">
        <v>0</v>
      </c>
    </row>
    <row r="18" spans="2:10">
      <c r="B18" s="867" t="s">
        <v>1436</v>
      </c>
      <c r="C18" s="863">
        <f t="shared" si="0"/>
        <v>19000.89</v>
      </c>
      <c r="D18" s="864">
        <f>_xlfn.XLOOKUP(B18,'Série Histórica IPCA'!$N$313:$N$438,'Série Histórica IPCA'!$J$313:$J$438,0)</f>
        <v>2.1303046102568861</v>
      </c>
      <c r="E18" s="457">
        <f t="shared" si="1"/>
        <v>8919.3300847754108</v>
      </c>
      <c r="G18" s="867">
        <v>45078</v>
      </c>
      <c r="H18" s="457">
        <v>0</v>
      </c>
      <c r="I18" s="457">
        <f t="shared" si="2"/>
        <v>8919.3300847754108</v>
      </c>
      <c r="J18" s="457">
        <v>0</v>
      </c>
    </row>
    <row r="19" spans="2:10">
      <c r="B19" s="867" t="s">
        <v>1437</v>
      </c>
      <c r="C19" s="863">
        <f t="shared" si="0"/>
        <v>19000.89</v>
      </c>
      <c r="D19" s="864">
        <f>_xlfn.XLOOKUP(B19,'Série Histórica IPCA'!$N$313:$N$438,'Série Histórica IPCA'!$J$313:$J$438,0)</f>
        <v>2.1328603552453544</v>
      </c>
      <c r="E19" s="457">
        <f t="shared" si="1"/>
        <v>8908.6423090339758</v>
      </c>
      <c r="G19" s="867">
        <v>45108</v>
      </c>
      <c r="H19" s="457">
        <v>0</v>
      </c>
      <c r="I19" s="457">
        <f t="shared" si="2"/>
        <v>8908.6423090339758</v>
      </c>
      <c r="J19" s="457">
        <v>0</v>
      </c>
    </row>
    <row r="20" spans="2:10">
      <c r="B20" s="867" t="s">
        <v>1438</v>
      </c>
      <c r="C20" s="863">
        <f t="shared" si="0"/>
        <v>19000.89</v>
      </c>
      <c r="D20" s="864">
        <f>_xlfn.XLOOKUP(B20,'Série Histórica IPCA'!$N$313:$N$438,'Série Histórica IPCA'!$J$313:$J$438,0)</f>
        <v>2.1377671297288479</v>
      </c>
      <c r="E20" s="457">
        <f t="shared" si="1"/>
        <v>8888.1944790731504</v>
      </c>
      <c r="G20" s="867">
        <v>45139</v>
      </c>
      <c r="H20" s="457">
        <v>0</v>
      </c>
      <c r="I20" s="457">
        <f t="shared" si="2"/>
        <v>8888.1944790731504</v>
      </c>
      <c r="J20" s="457">
        <v>0</v>
      </c>
    </row>
    <row r="21" spans="2:10">
      <c r="B21" s="867" t="s">
        <v>1439</v>
      </c>
      <c r="C21" s="863">
        <f t="shared" si="0"/>
        <v>19000.89</v>
      </c>
      <c r="D21" s="864">
        <f>_xlfn.XLOOKUP(B21,'Série Histórica IPCA'!$N$313:$N$438,'Série Histórica IPCA'!$J$313:$J$438,0)</f>
        <v>2.1433264348476948</v>
      </c>
      <c r="E21" s="457">
        <f t="shared" si="1"/>
        <v>8865.1405082633646</v>
      </c>
      <c r="G21" s="867">
        <v>45170</v>
      </c>
      <c r="H21" s="457">
        <v>0</v>
      </c>
      <c r="I21" s="457">
        <f t="shared" si="2"/>
        <v>8865.1405082633646</v>
      </c>
      <c r="J21" s="457">
        <v>0</v>
      </c>
    </row>
    <row r="22" spans="2:10">
      <c r="B22" s="867" t="s">
        <v>1440</v>
      </c>
      <c r="C22" s="863">
        <f t="shared" si="0"/>
        <v>19000.89</v>
      </c>
      <c r="D22" s="864">
        <f>_xlfn.XLOOKUP(B22,'Série Histórica IPCA'!$N$313:$N$438,'Série Histórica IPCA'!$J$313:$J$438,0)</f>
        <v>2.1484699116204831</v>
      </c>
      <c r="E22" s="457">
        <f t="shared" si="1"/>
        <v>8843.9171976434991</v>
      </c>
      <c r="G22" s="867">
        <v>45200</v>
      </c>
      <c r="H22" s="457">
        <v>0</v>
      </c>
      <c r="I22" s="457">
        <f t="shared" si="2"/>
        <v>8843.9171976434991</v>
      </c>
      <c r="J22" s="457">
        <v>0</v>
      </c>
    </row>
    <row r="23" spans="2:10">
      <c r="B23" s="867" t="s">
        <v>1441</v>
      </c>
      <c r="C23" s="863">
        <f t="shared" si="0"/>
        <v>19000.89</v>
      </c>
      <c r="D23" s="864">
        <f>_xlfn.XLOOKUP(B23,'Série Histórica IPCA'!$N$313:$N$438,'Série Histórica IPCA'!$J$313:$J$438,0)</f>
        <v>2.1544866279199946</v>
      </c>
      <c r="E23" s="457">
        <f t="shared" si="1"/>
        <v>8819.2192765401487</v>
      </c>
      <c r="G23" s="867">
        <v>45231</v>
      </c>
      <c r="H23" s="457">
        <v>0</v>
      </c>
      <c r="I23" s="457">
        <f>(E23/30)*3</f>
        <v>881.92192765401489</v>
      </c>
      <c r="J23" s="457">
        <f>(E23/30)*27</f>
        <v>7937.2973488861344</v>
      </c>
    </row>
    <row r="24" spans="2:10">
      <c r="B24" s="867" t="s">
        <v>1442</v>
      </c>
      <c r="C24" s="863">
        <f t="shared" si="0"/>
        <v>19000.89</v>
      </c>
      <c r="D24" s="864">
        <f>_xlfn.XLOOKUP(B24,'Série Histórica IPCA'!$N$313:$N$438,'Série Histórica IPCA'!$J$313:$J$438,0)</f>
        <v>2.1665520473148687</v>
      </c>
      <c r="E24" s="457">
        <f t="shared" si="1"/>
        <v>8770.105487910565</v>
      </c>
      <c r="G24" s="867">
        <v>45261</v>
      </c>
      <c r="H24" s="457">
        <v>0</v>
      </c>
      <c r="I24" s="457">
        <v>0</v>
      </c>
      <c r="J24" s="457">
        <f t="shared" ref="J24:J31" si="3">E24</f>
        <v>8770.105487910565</v>
      </c>
    </row>
    <row r="25" spans="2:10">
      <c r="B25" s="867" t="s">
        <v>1443</v>
      </c>
      <c r="C25" s="863">
        <f t="shared" ref="C25:C31" si="4">$C$5</f>
        <v>19768.53</v>
      </c>
      <c r="D25" s="864">
        <f>_xlfn.XLOOKUP(B25,'Série Histórica IPCA'!$N$313:$N$447,'Série Histórica IPCA'!$J$313:$J$447,0)</f>
        <v>2.1756522907343849</v>
      </c>
      <c r="E25" s="457">
        <f t="shared" si="1"/>
        <v>9086.2543082779048</v>
      </c>
      <c r="G25" s="867">
        <v>45292</v>
      </c>
      <c r="H25" s="457">
        <v>0</v>
      </c>
      <c r="I25" s="457">
        <v>0</v>
      </c>
      <c r="J25" s="457">
        <f t="shared" si="3"/>
        <v>9086.2543082779048</v>
      </c>
    </row>
    <row r="26" spans="2:10">
      <c r="B26" s="867" t="s">
        <v>1465</v>
      </c>
      <c r="C26" s="863">
        <f t="shared" si="4"/>
        <v>19768.53</v>
      </c>
      <c r="D26" s="864">
        <f>_xlfn.XLOOKUP(B26,'Série Histórica IPCA'!$N$313:$N$447,'Série Histórica IPCA'!$J$313:$J$447,0)</f>
        <v>2.1937088369920899</v>
      </c>
      <c r="E26" s="457">
        <f t="shared" si="1"/>
        <v>9011.4648154974275</v>
      </c>
      <c r="G26" s="867">
        <v>45323</v>
      </c>
      <c r="H26" s="457">
        <v>0</v>
      </c>
      <c r="I26" s="457">
        <v>0</v>
      </c>
      <c r="J26" s="457">
        <f t="shared" si="3"/>
        <v>9011.4648154974275</v>
      </c>
    </row>
    <row r="27" spans="2:10">
      <c r="B27" s="867" t="s">
        <v>1466</v>
      </c>
      <c r="C27" s="863">
        <f t="shared" si="4"/>
        <v>19768.53</v>
      </c>
      <c r="D27" s="864">
        <f>_xlfn.XLOOKUP(B27,'Série Histórica IPCA'!$N$313:$N$447,'Série Histórica IPCA'!$J$313:$J$447,0)</f>
        <v>2.1972177884969084</v>
      </c>
      <c r="E27" s="457">
        <f t="shared" si="1"/>
        <v>8997.0735279379951</v>
      </c>
      <c r="G27" s="867">
        <v>45352</v>
      </c>
      <c r="H27" s="457">
        <v>0</v>
      </c>
      <c r="I27" s="457">
        <v>0</v>
      </c>
      <c r="J27" s="457">
        <f t="shared" si="3"/>
        <v>8997.0735279379951</v>
      </c>
    </row>
    <row r="28" spans="2:10">
      <c r="B28" s="867" t="s">
        <v>1467</v>
      </c>
      <c r="C28" s="863">
        <f t="shared" si="4"/>
        <v>19768.53</v>
      </c>
      <c r="D28" s="864">
        <f>_xlfn.XLOOKUP(B28,'Série Histórica IPCA'!$N$313:$N$447,'Série Histórica IPCA'!$J$313:$J$447,0)</f>
        <v>2.2055663422139342</v>
      </c>
      <c r="E28" s="457">
        <f t="shared" si="1"/>
        <v>8963.0176257389139</v>
      </c>
      <c r="G28" s="867">
        <v>45383</v>
      </c>
      <c r="H28" s="457">
        <v>0</v>
      </c>
      <c r="I28" s="457">
        <v>0</v>
      </c>
      <c r="J28" s="457">
        <f t="shared" si="3"/>
        <v>8963.0176257389139</v>
      </c>
    </row>
    <row r="29" spans="2:10">
      <c r="B29" s="867" t="s">
        <v>1468</v>
      </c>
      <c r="C29" s="863">
        <f t="shared" si="4"/>
        <v>19768.53</v>
      </c>
      <c r="D29" s="864">
        <f>_xlfn.XLOOKUP(B29,'Série Histórica IPCA'!$N$313:$N$447,'Série Histórica IPCA'!$J$313:$J$447,0)</f>
        <v>2.2157125538577676</v>
      </c>
      <c r="E29" s="457">
        <f t="shared" si="1"/>
        <v>8921.9740916217215</v>
      </c>
      <c r="G29" s="867">
        <v>45413</v>
      </c>
      <c r="H29" s="457">
        <v>0</v>
      </c>
      <c r="I29" s="457">
        <v>0</v>
      </c>
      <c r="J29" s="457">
        <f t="shared" si="3"/>
        <v>8921.9740916217215</v>
      </c>
    </row>
    <row r="30" spans="2:10">
      <c r="B30" s="867" t="s">
        <v>1469</v>
      </c>
      <c r="C30" s="863">
        <f t="shared" si="4"/>
        <v>19768.53</v>
      </c>
      <c r="D30" s="864">
        <f>_xlfn.XLOOKUP(B30,'Série Histórica IPCA'!$N$313:$N$447,'Série Histórica IPCA'!$J$313:$J$447,0)</f>
        <v>2.2203666326540406</v>
      </c>
      <c r="E30" s="457">
        <f t="shared" si="1"/>
        <v>8903.272869116372</v>
      </c>
      <c r="G30" s="867">
        <v>45444</v>
      </c>
      <c r="H30" s="457">
        <v>0</v>
      </c>
      <c r="I30" s="457">
        <v>0</v>
      </c>
      <c r="J30" s="457">
        <f t="shared" si="3"/>
        <v>8903.272869116372</v>
      </c>
    </row>
    <row r="31" spans="2:10">
      <c r="B31" s="867" t="s">
        <v>1470</v>
      </c>
      <c r="C31" s="863">
        <f t="shared" si="4"/>
        <v>19768.53</v>
      </c>
      <c r="D31" s="864">
        <f>_xlfn.XLOOKUP(B31,'Série Histórica IPCA'!$N$313:$N$447,'Série Histórica IPCA'!$J$313:$J$447,0)</f>
        <v>2.2288047493994481</v>
      </c>
      <c r="E31" s="457">
        <f t="shared" si="1"/>
        <v>8869.5656294373184</v>
      </c>
      <c r="G31" s="867">
        <v>45474</v>
      </c>
      <c r="H31" s="457">
        <v>0</v>
      </c>
      <c r="I31" s="457">
        <v>0</v>
      </c>
      <c r="J31" s="457">
        <f t="shared" si="3"/>
        <v>8869.5656294373184</v>
      </c>
    </row>
    <row r="32" spans="2:10">
      <c r="B32" s="874" t="s">
        <v>1474</v>
      </c>
      <c r="C32" s="863">
        <v>20604.259999999998</v>
      </c>
      <c r="D32" s="864">
        <f>_xlfn.XLOOKUP(B32,'Série Histórica IPCA'!$N$313:$N$447,'Série Histórica IPCA'!$J$313:$J$447,0)</f>
        <v>2.2283601329371234</v>
      </c>
      <c r="E32" s="457">
        <f t="shared" si="1"/>
        <v>9246.3779509653341</v>
      </c>
      <c r="G32" s="867">
        <v>45505</v>
      </c>
      <c r="H32" s="457">
        <v>0</v>
      </c>
      <c r="I32" s="457">
        <v>0</v>
      </c>
      <c r="J32" s="457">
        <f t="shared" ref="J32:J34" si="5">E32</f>
        <v>9246.3779509653341</v>
      </c>
    </row>
    <row r="33" spans="2:10">
      <c r="B33" s="874" t="s">
        <v>1475</v>
      </c>
      <c r="C33" s="863">
        <v>20604.259999999998</v>
      </c>
      <c r="D33" s="864">
        <f>_xlfn.XLOOKUP(B33,'Série Histórica IPCA'!$N$313:$N$447,'Série Histórica IPCA'!$J$313:$J$447,0)</f>
        <v>2.2381640858653546</v>
      </c>
      <c r="E33" s="457">
        <f t="shared" si="1"/>
        <v>9205.8755343818557</v>
      </c>
      <c r="G33" s="867">
        <v>45536</v>
      </c>
      <c r="H33" s="457">
        <v>0</v>
      </c>
      <c r="I33" s="457">
        <v>0</v>
      </c>
      <c r="J33" s="457">
        <f t="shared" si="5"/>
        <v>9205.8755343818557</v>
      </c>
    </row>
    <row r="34" spans="2:10">
      <c r="B34" s="874" t="s">
        <v>1476</v>
      </c>
      <c r="C34" s="863">
        <v>20604.259999999998</v>
      </c>
      <c r="D34" s="864">
        <f>_xlfn.XLOOKUP(B34,'Série Histórica IPCA'!$N$313:$N$447,'Série Histórica IPCA'!$J$313:$J$447,0)</f>
        <v>2.2506965124796485</v>
      </c>
      <c r="E34" s="457">
        <f t="shared" si="1"/>
        <v>9154.6149761878696</v>
      </c>
      <c r="G34" s="867">
        <v>45566</v>
      </c>
      <c r="H34" s="457">
        <v>0</v>
      </c>
      <c r="I34" s="457">
        <v>0</v>
      </c>
      <c r="J34" s="457">
        <f t="shared" si="5"/>
        <v>9154.6149761878696</v>
      </c>
    </row>
    <row r="35" spans="2:10">
      <c r="G35" s="870" t="s">
        <v>525</v>
      </c>
      <c r="H35" s="868">
        <f>SUM(H9:H34)</f>
        <v>19518.172162860188</v>
      </c>
      <c r="I35" s="868">
        <f>SUM(I9:I34)</f>
        <v>107801.65851185452</v>
      </c>
      <c r="J35" s="868">
        <f>SUM(J9:J34)</f>
        <v>107066.89416595941</v>
      </c>
    </row>
    <row r="36" spans="2:10">
      <c r="G36" s="859" t="s">
        <v>1471</v>
      </c>
      <c r="H36" s="866">
        <f>H35/1000</f>
        <v>19.518172162860189</v>
      </c>
      <c r="I36" s="866">
        <f>I35/1000</f>
        <v>107.80165851185451</v>
      </c>
      <c r="J36" s="866">
        <f>J35/1000</f>
        <v>107.06689416595941</v>
      </c>
    </row>
  </sheetData>
  <mergeCells count="1">
    <mergeCell ref="G6:G8"/>
  </mergeCells>
  <pageMargins left="0.511811024" right="0.511811024" top="0.78740157499999996" bottom="0.78740157499999996" header="0.31496062000000002" footer="0.3149606200000000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Planilha22">
    <tabColor rgb="FF00B050"/>
  </sheetPr>
  <dimension ref="B19:N31"/>
  <sheetViews>
    <sheetView showGridLines="0" topLeftCell="A13" zoomScale="120" zoomScaleNormal="120" workbookViewId="0">
      <selection activeCell="J31" sqref="J31"/>
    </sheetView>
  </sheetViews>
  <sheetFormatPr defaultRowHeight="12.75"/>
  <cols>
    <col min="2" max="2" width="17" customWidth="1"/>
    <col min="3" max="3" width="11.28515625" bestFit="1" customWidth="1"/>
    <col min="5" max="5" width="11.28515625" customWidth="1"/>
    <col min="6" max="6" width="12.85546875" bestFit="1" customWidth="1"/>
    <col min="7" max="7" width="11.7109375" bestFit="1" customWidth="1"/>
    <col min="8" max="8" width="12.85546875" bestFit="1" customWidth="1"/>
    <col min="9" max="9" width="9.5703125" customWidth="1"/>
    <col min="10" max="10" width="11.7109375" bestFit="1" customWidth="1"/>
    <col min="11" max="11" width="10.7109375" bestFit="1" customWidth="1"/>
    <col min="14" max="14" width="10.28515625" customWidth="1"/>
  </cols>
  <sheetData>
    <row r="19" spans="2:14">
      <c r="B19" s="1" t="s">
        <v>505</v>
      </c>
      <c r="C19" s="1" t="s">
        <v>502</v>
      </c>
      <c r="D19" s="1" t="s">
        <v>501</v>
      </c>
      <c r="E19" s="1" t="s">
        <v>503</v>
      </c>
      <c r="F19" s="1" t="s">
        <v>504</v>
      </c>
    </row>
    <row r="20" spans="2:14">
      <c r="B20" s="460">
        <v>42047</v>
      </c>
      <c r="C20" s="457">
        <v>233.07839999999999</v>
      </c>
      <c r="D20" s="458">
        <f>'Série Histórica IPCA'!C313/'Série Histórica IPCA'!C248</f>
        <v>1.3147212830543551</v>
      </c>
      <c r="E20" s="459">
        <f>C20/D20</f>
        <v>177.2835071616953</v>
      </c>
      <c r="F20" s="458">
        <v>4</v>
      </c>
    </row>
    <row r="21" spans="2:14">
      <c r="B21" s="460">
        <v>42411</v>
      </c>
      <c r="C21" s="457">
        <v>50</v>
      </c>
      <c r="D21" s="458">
        <f>'Série Histórica IPCA'!C326/'Série Histórica IPCA'!C248</f>
        <v>1.4554727808360708</v>
      </c>
      <c r="E21" s="459">
        <f>C21/D21</f>
        <v>34.353098634574515</v>
      </c>
      <c r="F21" s="458">
        <v>5</v>
      </c>
    </row>
    <row r="22" spans="2:14">
      <c r="B22" s="460">
        <v>42712</v>
      </c>
      <c r="C22" s="457">
        <v>183.07839999999999</v>
      </c>
      <c r="D22" s="458">
        <f>'Série Histórica IPCA'!C336/'Série Histórica IPCA'!C248</f>
        <v>1.5230256949931069</v>
      </c>
      <c r="E22" s="459">
        <f>C22/D22</f>
        <v>120.20703301452086</v>
      </c>
      <c r="F22" s="458">
        <v>6</v>
      </c>
    </row>
    <row r="23" spans="2:14">
      <c r="B23" s="460">
        <v>43865</v>
      </c>
      <c r="C23" s="457">
        <v>131.08221</v>
      </c>
      <c r="D23" s="458">
        <f>'Série Histórica IPCA'!J383</f>
        <v>1.6824286934353501</v>
      </c>
      <c r="E23" s="747">
        <f>-C23/D23</f>
        <v>-77.912490741193508</v>
      </c>
      <c r="F23" s="458">
        <v>9</v>
      </c>
    </row>
    <row r="27" spans="2:14">
      <c r="C27" s="456">
        <v>1</v>
      </c>
      <c r="D27" s="456">
        <v>2</v>
      </c>
      <c r="E27" s="456">
        <v>3</v>
      </c>
      <c r="F27" s="456">
        <v>4</v>
      </c>
      <c r="G27" s="456">
        <v>5</v>
      </c>
      <c r="H27" s="456">
        <v>6</v>
      </c>
      <c r="I27" s="456">
        <v>7</v>
      </c>
      <c r="J27" s="456">
        <v>8</v>
      </c>
      <c r="K27" s="456">
        <v>9</v>
      </c>
      <c r="L27" s="456">
        <v>10</v>
      </c>
      <c r="M27" s="456">
        <v>11</v>
      </c>
    </row>
    <row r="28" spans="2:14">
      <c r="B28" s="1" t="s">
        <v>641</v>
      </c>
      <c r="C28" s="457">
        <v>0</v>
      </c>
      <c r="D28" s="457">
        <v>0</v>
      </c>
      <c r="E28" s="457">
        <v>0</v>
      </c>
      <c r="F28" s="457">
        <f>E20</f>
        <v>177.2835071616953</v>
      </c>
      <c r="G28" s="457">
        <f>E21</f>
        <v>34.353098634574515</v>
      </c>
      <c r="H28" s="457">
        <f>E22</f>
        <v>120.20703301452086</v>
      </c>
      <c r="I28" s="457">
        <v>0</v>
      </c>
      <c r="J28" s="457">
        <v>180</v>
      </c>
      <c r="K28" s="457">
        <v>180</v>
      </c>
      <c r="L28" s="457">
        <v>180</v>
      </c>
      <c r="M28" s="457">
        <v>180</v>
      </c>
      <c r="N28" s="440">
        <f>SUM(C28:M28)</f>
        <v>1051.8436388107907</v>
      </c>
    </row>
    <row r="29" spans="2:14">
      <c r="B29" s="1" t="s">
        <v>642</v>
      </c>
      <c r="C29" s="457">
        <v>0</v>
      </c>
      <c r="D29" s="457">
        <v>0</v>
      </c>
      <c r="E29" s="457">
        <v>0</v>
      </c>
      <c r="F29" s="457">
        <f>E20</f>
        <v>177.2835071616953</v>
      </c>
      <c r="G29" s="457">
        <f>E21</f>
        <v>34.353098634574515</v>
      </c>
      <c r="H29" s="457">
        <f>E22</f>
        <v>120.20703301452086</v>
      </c>
      <c r="I29" s="457">
        <v>0</v>
      </c>
      <c r="J29" s="457">
        <v>0</v>
      </c>
      <c r="K29" s="457">
        <f>E23</f>
        <v>-77.912490741193508</v>
      </c>
      <c r="L29" s="457">
        <v>0</v>
      </c>
      <c r="M29" s="457">
        <v>0</v>
      </c>
      <c r="N29" s="440">
        <f>SUM(C29:K29)</f>
        <v>253.93114806959716</v>
      </c>
    </row>
    <row r="30" spans="2:14">
      <c r="N30" s="440">
        <f>N29-N28</f>
        <v>-797.91249074119355</v>
      </c>
    </row>
    <row r="31" spans="2:14">
      <c r="J31" s="441"/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  <legacyDrawing r:id="rId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Planilha23">
    <tabColor rgb="FF00B050"/>
  </sheetPr>
  <dimension ref="A3:N92"/>
  <sheetViews>
    <sheetView showGridLines="0" workbookViewId="0"/>
  </sheetViews>
  <sheetFormatPr defaultColWidth="9.140625" defaultRowHeight="12.75"/>
  <cols>
    <col min="1" max="1" width="10" style="23" customWidth="1"/>
    <col min="2" max="2" width="6.28515625" style="25" customWidth="1"/>
    <col min="3" max="3" width="9.140625" style="25"/>
    <col min="4" max="4" width="11.28515625" style="25" customWidth="1"/>
    <col min="5" max="5" width="10.7109375" style="25" customWidth="1"/>
    <col min="6" max="7" width="11.42578125" style="544" customWidth="1"/>
    <col min="8" max="9" width="11.28515625" style="544" customWidth="1"/>
    <col min="10" max="10" width="12.140625" style="23" customWidth="1"/>
    <col min="11" max="16384" width="9.140625" style="23"/>
  </cols>
  <sheetData>
    <row r="3" spans="2:14" ht="30">
      <c r="B3" s="545" t="s">
        <v>524</v>
      </c>
      <c r="C3" s="545" t="s">
        <v>525</v>
      </c>
      <c r="D3" s="545" t="s">
        <v>526</v>
      </c>
      <c r="E3" s="545" t="s">
        <v>527</v>
      </c>
      <c r="F3" s="546" t="s">
        <v>528</v>
      </c>
      <c r="G3" s="546" t="s">
        <v>529</v>
      </c>
      <c r="H3" s="546" t="s">
        <v>530</v>
      </c>
      <c r="I3" s="546" t="s">
        <v>531</v>
      </c>
    </row>
    <row r="4" spans="2:14">
      <c r="B4" s="547">
        <v>1</v>
      </c>
      <c r="C4" s="547" t="s">
        <v>532</v>
      </c>
      <c r="D4" s="22">
        <v>157265</v>
      </c>
      <c r="E4" s="22">
        <f>B4*D4</f>
        <v>157265</v>
      </c>
      <c r="F4" s="548">
        <v>0</v>
      </c>
      <c r="G4" s="548">
        <v>0</v>
      </c>
      <c r="H4" s="549">
        <f t="shared" ref="H4:I16" si="0">IFERROR(F4/D4,0)</f>
        <v>0</v>
      </c>
      <c r="I4" s="549">
        <f t="shared" si="0"/>
        <v>0</v>
      </c>
    </row>
    <row r="5" spans="2:14">
      <c r="B5" s="547">
        <v>2</v>
      </c>
      <c r="C5" s="547" t="s">
        <v>533</v>
      </c>
      <c r="D5" s="22">
        <v>7234</v>
      </c>
      <c r="E5" s="22">
        <f t="shared" ref="E5:E15" si="1">B5*D5</f>
        <v>14468</v>
      </c>
      <c r="F5" s="548">
        <v>0</v>
      </c>
      <c r="G5" s="548">
        <v>0</v>
      </c>
      <c r="H5" s="549">
        <f t="shared" si="0"/>
        <v>0</v>
      </c>
      <c r="I5" s="549">
        <f t="shared" si="0"/>
        <v>0</v>
      </c>
    </row>
    <row r="6" spans="2:14">
      <c r="B6" s="547">
        <v>3</v>
      </c>
      <c r="C6" s="547" t="s">
        <v>534</v>
      </c>
      <c r="D6" s="22">
        <v>10807</v>
      </c>
      <c r="E6" s="22">
        <f>B6*D6</f>
        <v>32421</v>
      </c>
      <c r="F6" s="548">
        <v>4434</v>
      </c>
      <c r="G6" s="548">
        <v>4434</v>
      </c>
      <c r="H6" s="549">
        <f t="shared" si="0"/>
        <v>0.41028962709355049</v>
      </c>
      <c r="I6" s="549">
        <f t="shared" si="0"/>
        <v>0.1367632090311835</v>
      </c>
      <c r="K6" s="550"/>
      <c r="L6" s="551"/>
      <c r="M6" s="279"/>
      <c r="N6" s="279"/>
    </row>
    <row r="7" spans="2:14">
      <c r="B7" s="547">
        <v>4</v>
      </c>
      <c r="C7" s="547" t="s">
        <v>535</v>
      </c>
      <c r="D7" s="22">
        <v>2991</v>
      </c>
      <c r="E7" s="22">
        <f t="shared" si="1"/>
        <v>11964</v>
      </c>
      <c r="F7" s="548">
        <v>2230</v>
      </c>
      <c r="G7" s="548">
        <v>3697</v>
      </c>
      <c r="H7" s="549">
        <f t="shared" si="0"/>
        <v>0.74557004346372446</v>
      </c>
      <c r="I7" s="549">
        <f>IFERROR(G7/E7,0)</f>
        <v>0.30901036442661317</v>
      </c>
      <c r="K7" s="550"/>
      <c r="L7" s="551"/>
      <c r="M7" s="279"/>
      <c r="N7" s="279"/>
    </row>
    <row r="8" spans="2:14">
      <c r="B8" s="547">
        <v>5</v>
      </c>
      <c r="C8" s="547" t="s">
        <v>536</v>
      </c>
      <c r="D8" s="22">
        <v>9649</v>
      </c>
      <c r="E8" s="22">
        <f t="shared" si="1"/>
        <v>48245</v>
      </c>
      <c r="F8" s="548">
        <v>5153</v>
      </c>
      <c r="G8" s="548">
        <v>5548</v>
      </c>
      <c r="H8" s="549">
        <f t="shared" si="0"/>
        <v>0.53404497875427503</v>
      </c>
      <c r="I8" s="549">
        <f t="shared" si="0"/>
        <v>0.11499637268110685</v>
      </c>
      <c r="K8" s="550"/>
      <c r="L8" s="551"/>
      <c r="M8" s="279"/>
      <c r="N8" s="279"/>
    </row>
    <row r="9" spans="2:14">
      <c r="B9" s="547">
        <v>6</v>
      </c>
      <c r="C9" s="547" t="s">
        <v>537</v>
      </c>
      <c r="D9" s="22">
        <v>4769</v>
      </c>
      <c r="E9" s="22">
        <f t="shared" si="1"/>
        <v>28614</v>
      </c>
      <c r="F9" s="548">
        <v>3318</v>
      </c>
      <c r="G9" s="548">
        <v>5838</v>
      </c>
      <c r="H9" s="549">
        <f t="shared" si="0"/>
        <v>0.69574334241979452</v>
      </c>
      <c r="I9" s="549">
        <f t="shared" si="0"/>
        <v>0.20402600125812539</v>
      </c>
      <c r="K9" s="550"/>
      <c r="L9" s="551"/>
      <c r="M9" s="279"/>
      <c r="N9" s="279"/>
    </row>
    <row r="10" spans="2:14">
      <c r="B10" s="547">
        <v>7</v>
      </c>
      <c r="C10" s="547" t="s">
        <v>538</v>
      </c>
      <c r="D10" s="22">
        <v>1320</v>
      </c>
      <c r="E10" s="22">
        <f t="shared" si="1"/>
        <v>9240</v>
      </c>
      <c r="F10" s="548">
        <v>960</v>
      </c>
      <c r="G10" s="548">
        <v>2431</v>
      </c>
      <c r="H10" s="549">
        <f t="shared" si="0"/>
        <v>0.72727272727272729</v>
      </c>
      <c r="I10" s="549">
        <f t="shared" si="0"/>
        <v>0.2630952380952381</v>
      </c>
      <c r="K10" s="550"/>
      <c r="L10" s="551"/>
      <c r="M10" s="279"/>
      <c r="N10" s="279"/>
    </row>
    <row r="11" spans="2:14">
      <c r="B11" s="547">
        <v>8</v>
      </c>
      <c r="C11" s="547" t="s">
        <v>539</v>
      </c>
      <c r="D11" s="22">
        <v>22</v>
      </c>
      <c r="E11" s="22">
        <f t="shared" si="1"/>
        <v>176</v>
      </c>
      <c r="F11" s="548">
        <v>2</v>
      </c>
      <c r="G11" s="548">
        <v>6</v>
      </c>
      <c r="H11" s="549">
        <f t="shared" si="0"/>
        <v>9.0909090909090912E-2</v>
      </c>
      <c r="I11" s="549">
        <f t="shared" si="0"/>
        <v>3.4090909090909088E-2</v>
      </c>
      <c r="K11" s="550"/>
      <c r="L11" s="551"/>
      <c r="M11" s="279"/>
      <c r="N11" s="279"/>
    </row>
    <row r="12" spans="2:14">
      <c r="B12" s="547">
        <v>9</v>
      </c>
      <c r="C12" s="547" t="s">
        <v>540</v>
      </c>
      <c r="D12" s="22">
        <v>539</v>
      </c>
      <c r="E12" s="22">
        <f t="shared" si="1"/>
        <v>4851</v>
      </c>
      <c r="F12" s="548">
        <v>358</v>
      </c>
      <c r="G12" s="548">
        <v>737</v>
      </c>
      <c r="H12" s="549">
        <f t="shared" si="0"/>
        <v>0.66419294990723565</v>
      </c>
      <c r="I12" s="549">
        <f t="shared" si="0"/>
        <v>0.15192743764172337</v>
      </c>
      <c r="K12" s="550"/>
      <c r="L12" s="551"/>
      <c r="M12" s="279"/>
      <c r="N12" s="279"/>
    </row>
    <row r="13" spans="2:14">
      <c r="B13" s="547">
        <v>1.5</v>
      </c>
      <c r="C13" s="547" t="s">
        <v>541</v>
      </c>
      <c r="D13" s="22">
        <v>1088</v>
      </c>
      <c r="E13" s="22">
        <f t="shared" si="1"/>
        <v>1632</v>
      </c>
      <c r="F13" s="548">
        <v>0</v>
      </c>
      <c r="G13" s="548">
        <v>0</v>
      </c>
      <c r="H13" s="549">
        <f t="shared" si="0"/>
        <v>0</v>
      </c>
      <c r="I13" s="549">
        <f t="shared" si="0"/>
        <v>0</v>
      </c>
      <c r="K13" s="550"/>
    </row>
    <row r="14" spans="2:14">
      <c r="B14" s="547">
        <v>2</v>
      </c>
      <c r="C14" s="547" t="s">
        <v>542</v>
      </c>
      <c r="D14" s="22">
        <v>102</v>
      </c>
      <c r="E14" s="22">
        <f t="shared" si="1"/>
        <v>204</v>
      </c>
      <c r="F14" s="548">
        <v>0</v>
      </c>
      <c r="G14" s="548">
        <v>0</v>
      </c>
      <c r="H14" s="549">
        <f t="shared" si="0"/>
        <v>0</v>
      </c>
      <c r="I14" s="549">
        <f t="shared" si="0"/>
        <v>0</v>
      </c>
      <c r="K14" s="550"/>
    </row>
    <row r="15" spans="2:14">
      <c r="B15" s="547">
        <v>0.5</v>
      </c>
      <c r="C15" s="547" t="s">
        <v>543</v>
      </c>
      <c r="D15" s="22">
        <v>22239</v>
      </c>
      <c r="E15" s="22">
        <f t="shared" si="1"/>
        <v>11119.5</v>
      </c>
      <c r="F15" s="548">
        <v>0</v>
      </c>
      <c r="G15" s="548">
        <v>0</v>
      </c>
      <c r="H15" s="549">
        <f t="shared" si="0"/>
        <v>0</v>
      </c>
      <c r="I15" s="549">
        <f t="shared" si="0"/>
        <v>0</v>
      </c>
      <c r="K15" s="550"/>
    </row>
    <row r="16" spans="2:14" ht="15">
      <c r="B16" s="547"/>
      <c r="C16" s="545" t="s">
        <v>4</v>
      </c>
      <c r="D16" s="552">
        <f>SUM(D4:D15)</f>
        <v>218025</v>
      </c>
      <c r="E16" s="552">
        <f>SUM(E4:E15)</f>
        <v>320199.5</v>
      </c>
      <c r="F16" s="553">
        <f>SUM(F4:F15)</f>
        <v>16455</v>
      </c>
      <c r="G16" s="553">
        <f>SUM(G4:G15)</f>
        <v>22691</v>
      </c>
      <c r="H16" s="554">
        <f t="shared" si="0"/>
        <v>7.5472996216030278E-2</v>
      </c>
      <c r="I16" s="555">
        <f t="shared" si="0"/>
        <v>7.0865194980004653E-2</v>
      </c>
      <c r="J16" s="279"/>
    </row>
    <row r="18" spans="2:11" ht="30">
      <c r="B18" s="545" t="s">
        <v>524</v>
      </c>
      <c r="C18" s="545" t="s">
        <v>544</v>
      </c>
      <c r="D18" s="545" t="s">
        <v>526</v>
      </c>
      <c r="E18" s="545" t="s">
        <v>527</v>
      </c>
      <c r="F18" s="546" t="s">
        <v>528</v>
      </c>
      <c r="G18" s="546" t="s">
        <v>529</v>
      </c>
      <c r="H18" s="546" t="s">
        <v>530</v>
      </c>
      <c r="I18" s="546" t="s">
        <v>531</v>
      </c>
    </row>
    <row r="19" spans="2:11">
      <c r="B19" s="547">
        <v>1</v>
      </c>
      <c r="C19" s="547" t="s">
        <v>532</v>
      </c>
      <c r="D19" s="22">
        <v>68991</v>
      </c>
      <c r="E19" s="22">
        <f t="shared" ref="E19:E30" si="2">B19*D19</f>
        <v>68991</v>
      </c>
      <c r="F19" s="548">
        <v>0</v>
      </c>
      <c r="G19" s="548">
        <v>0</v>
      </c>
      <c r="H19" s="549">
        <f t="shared" ref="H19:I31" si="3">IFERROR(F19/D19,0)</f>
        <v>0</v>
      </c>
      <c r="I19" s="549">
        <f t="shared" si="3"/>
        <v>0</v>
      </c>
    </row>
    <row r="20" spans="2:11">
      <c r="B20" s="547">
        <v>2</v>
      </c>
      <c r="C20" s="547" t="s">
        <v>533</v>
      </c>
      <c r="D20" s="22">
        <v>3412</v>
      </c>
      <c r="E20" s="22">
        <f t="shared" si="2"/>
        <v>6824</v>
      </c>
      <c r="F20" s="548">
        <v>0</v>
      </c>
      <c r="G20" s="548">
        <v>0</v>
      </c>
      <c r="H20" s="549">
        <f t="shared" si="3"/>
        <v>0</v>
      </c>
      <c r="I20" s="549">
        <f t="shared" si="3"/>
        <v>0</v>
      </c>
    </row>
    <row r="21" spans="2:11">
      <c r="B21" s="547">
        <v>3</v>
      </c>
      <c r="C21" s="547" t="s">
        <v>534</v>
      </c>
      <c r="D21" s="22">
        <v>6194</v>
      </c>
      <c r="E21" s="22">
        <f t="shared" si="2"/>
        <v>18582</v>
      </c>
      <c r="F21" s="548">
        <v>2214</v>
      </c>
      <c r="G21" s="548">
        <v>2214</v>
      </c>
      <c r="H21" s="549">
        <f t="shared" si="3"/>
        <v>0.35744268647077815</v>
      </c>
      <c r="I21" s="549">
        <f t="shared" si="3"/>
        <v>0.11914756215692605</v>
      </c>
      <c r="K21" s="556"/>
    </row>
    <row r="22" spans="2:11">
      <c r="B22" s="547">
        <v>4</v>
      </c>
      <c r="C22" s="547" t="s">
        <v>535</v>
      </c>
      <c r="D22" s="22">
        <v>1598</v>
      </c>
      <c r="E22" s="22">
        <f>B22*D22</f>
        <v>6392</v>
      </c>
      <c r="F22" s="548">
        <v>1110</v>
      </c>
      <c r="G22" s="548">
        <v>1797</v>
      </c>
      <c r="H22" s="549">
        <f t="shared" si="3"/>
        <v>0.69461827284105127</v>
      </c>
      <c r="I22" s="549">
        <f t="shared" si="3"/>
        <v>0.28113266583229035</v>
      </c>
      <c r="K22" s="551"/>
    </row>
    <row r="23" spans="2:11">
      <c r="B23" s="547">
        <v>5</v>
      </c>
      <c r="C23" s="547" t="s">
        <v>536</v>
      </c>
      <c r="D23" s="22">
        <v>6782</v>
      </c>
      <c r="E23" s="22">
        <f t="shared" si="2"/>
        <v>33910</v>
      </c>
      <c r="F23" s="548">
        <v>3778</v>
      </c>
      <c r="G23" s="548">
        <v>4102</v>
      </c>
      <c r="H23" s="549">
        <f t="shared" si="3"/>
        <v>0.55706281332940133</v>
      </c>
      <c r="I23" s="549">
        <f t="shared" si="3"/>
        <v>0.12096726629312887</v>
      </c>
      <c r="K23" s="551"/>
    </row>
    <row r="24" spans="2:11">
      <c r="B24" s="547">
        <v>6</v>
      </c>
      <c r="C24" s="547" t="s">
        <v>537</v>
      </c>
      <c r="D24" s="22">
        <v>3593</v>
      </c>
      <c r="E24" s="22">
        <f t="shared" si="2"/>
        <v>21558</v>
      </c>
      <c r="F24" s="548">
        <v>2440</v>
      </c>
      <c r="G24" s="548">
        <v>4270</v>
      </c>
      <c r="H24" s="549">
        <f t="shared" si="3"/>
        <v>0.67909824659059281</v>
      </c>
      <c r="I24" s="549">
        <f t="shared" si="3"/>
        <v>0.19807032192225624</v>
      </c>
      <c r="K24" s="551"/>
    </row>
    <row r="25" spans="2:11">
      <c r="B25" s="547">
        <v>7</v>
      </c>
      <c r="C25" s="547" t="s">
        <v>538</v>
      </c>
      <c r="D25" s="22">
        <v>984</v>
      </c>
      <c r="E25" s="22">
        <f t="shared" si="2"/>
        <v>6888</v>
      </c>
      <c r="F25" s="548">
        <v>747</v>
      </c>
      <c r="G25" s="548">
        <v>1899</v>
      </c>
      <c r="H25" s="549">
        <f t="shared" si="3"/>
        <v>0.75914634146341464</v>
      </c>
      <c r="I25" s="549">
        <f t="shared" si="3"/>
        <v>0.27569686411149824</v>
      </c>
      <c r="K25" s="551"/>
    </row>
    <row r="26" spans="2:11">
      <c r="B26" s="547">
        <v>8</v>
      </c>
      <c r="C26" s="547" t="s">
        <v>539</v>
      </c>
      <c r="D26" s="22">
        <v>8</v>
      </c>
      <c r="E26" s="22">
        <f>B26*D26</f>
        <v>64</v>
      </c>
      <c r="F26" s="548">
        <v>2</v>
      </c>
      <c r="G26" s="548">
        <v>6</v>
      </c>
      <c r="H26" s="549">
        <f t="shared" si="3"/>
        <v>0.25</v>
      </c>
      <c r="I26" s="549">
        <f t="shared" si="3"/>
        <v>9.375E-2</v>
      </c>
      <c r="K26" s="551"/>
    </row>
    <row r="27" spans="2:11">
      <c r="B27" s="547">
        <v>9</v>
      </c>
      <c r="C27" s="547" t="s">
        <v>540</v>
      </c>
      <c r="D27" s="22">
        <v>444</v>
      </c>
      <c r="E27" s="22">
        <f>B27*D27</f>
        <v>3996</v>
      </c>
      <c r="F27" s="548">
        <v>302</v>
      </c>
      <c r="G27" s="548">
        <v>619</v>
      </c>
      <c r="H27" s="549">
        <f t="shared" si="3"/>
        <v>0.68018018018018023</v>
      </c>
      <c r="I27" s="549">
        <f t="shared" si="3"/>
        <v>0.15490490490490491</v>
      </c>
      <c r="K27" s="551"/>
    </row>
    <row r="28" spans="2:11">
      <c r="B28" s="547">
        <v>1.5</v>
      </c>
      <c r="C28" s="547" t="s">
        <v>541</v>
      </c>
      <c r="D28" s="22">
        <v>518</v>
      </c>
      <c r="E28" s="22">
        <f t="shared" si="2"/>
        <v>777</v>
      </c>
      <c r="F28" s="548">
        <v>0</v>
      </c>
      <c r="G28" s="548">
        <v>0</v>
      </c>
      <c r="H28" s="549">
        <f t="shared" si="3"/>
        <v>0</v>
      </c>
      <c r="I28" s="549">
        <f t="shared" si="3"/>
        <v>0</v>
      </c>
    </row>
    <row r="29" spans="2:11">
      <c r="B29" s="547">
        <v>2</v>
      </c>
      <c r="C29" s="547" t="s">
        <v>542</v>
      </c>
      <c r="D29" s="22">
        <v>51</v>
      </c>
      <c r="E29" s="22">
        <f t="shared" si="2"/>
        <v>102</v>
      </c>
      <c r="F29" s="548">
        <v>0</v>
      </c>
      <c r="G29" s="548">
        <v>0</v>
      </c>
      <c r="H29" s="549">
        <f t="shared" si="3"/>
        <v>0</v>
      </c>
      <c r="I29" s="549">
        <f t="shared" si="3"/>
        <v>0</v>
      </c>
    </row>
    <row r="30" spans="2:11">
      <c r="B30" s="547">
        <v>0.5</v>
      </c>
      <c r="C30" s="547" t="s">
        <v>543</v>
      </c>
      <c r="D30" s="22">
        <v>9964</v>
      </c>
      <c r="E30" s="22">
        <f t="shared" si="2"/>
        <v>4982</v>
      </c>
      <c r="F30" s="548">
        <v>0</v>
      </c>
      <c r="G30" s="548">
        <v>0</v>
      </c>
      <c r="H30" s="549">
        <f t="shared" si="3"/>
        <v>0</v>
      </c>
      <c r="I30" s="549">
        <f t="shared" si="3"/>
        <v>0</v>
      </c>
    </row>
    <row r="31" spans="2:11" ht="15">
      <c r="B31" s="547"/>
      <c r="C31" s="545" t="s">
        <v>4</v>
      </c>
      <c r="D31" s="552">
        <f>SUM(D19:D30)</f>
        <v>102539</v>
      </c>
      <c r="E31" s="552">
        <f>SUM(E19:E30)</f>
        <v>173066</v>
      </c>
      <c r="F31" s="553">
        <f>SUM(F19:F30)</f>
        <v>10593</v>
      </c>
      <c r="G31" s="553">
        <f>SUM(G19:G30)</f>
        <v>14907</v>
      </c>
      <c r="H31" s="554">
        <f t="shared" si="3"/>
        <v>0.10330703439666858</v>
      </c>
      <c r="I31" s="554">
        <f t="shared" si="3"/>
        <v>8.6134769394335106E-2</v>
      </c>
    </row>
    <row r="33" spans="2:11" ht="30">
      <c r="B33" s="545" t="s">
        <v>524</v>
      </c>
      <c r="C33" s="545" t="s">
        <v>545</v>
      </c>
      <c r="D33" s="545" t="s">
        <v>526</v>
      </c>
      <c r="E33" s="545" t="s">
        <v>527</v>
      </c>
      <c r="F33" s="546" t="s">
        <v>528</v>
      </c>
      <c r="G33" s="546" t="s">
        <v>529</v>
      </c>
      <c r="H33" s="546" t="s">
        <v>530</v>
      </c>
      <c r="I33" s="546" t="s">
        <v>531</v>
      </c>
    </row>
    <row r="34" spans="2:11">
      <c r="B34" s="547">
        <v>1</v>
      </c>
      <c r="C34" s="547" t="s">
        <v>532</v>
      </c>
      <c r="D34" s="22">
        <v>15292</v>
      </c>
      <c r="E34" s="22">
        <f t="shared" ref="E34:E45" si="4">B34*D34</f>
        <v>15292</v>
      </c>
      <c r="F34" s="548">
        <v>0</v>
      </c>
      <c r="G34" s="548">
        <v>0</v>
      </c>
      <c r="H34" s="549">
        <f t="shared" ref="H34:I46" si="5">IFERROR(F34/D34,0)</f>
        <v>0</v>
      </c>
      <c r="I34" s="549">
        <f t="shared" si="5"/>
        <v>0</v>
      </c>
    </row>
    <row r="35" spans="2:11">
      <c r="B35" s="547">
        <v>2</v>
      </c>
      <c r="C35" s="547" t="s">
        <v>533</v>
      </c>
      <c r="D35" s="22">
        <v>840</v>
      </c>
      <c r="E35" s="22">
        <f t="shared" si="4"/>
        <v>1680</v>
      </c>
      <c r="F35" s="548">
        <v>0</v>
      </c>
      <c r="G35" s="548">
        <v>0</v>
      </c>
      <c r="H35" s="549">
        <f t="shared" si="5"/>
        <v>0</v>
      </c>
      <c r="I35" s="549">
        <f t="shared" si="5"/>
        <v>0</v>
      </c>
    </row>
    <row r="36" spans="2:11">
      <c r="B36" s="547">
        <v>3</v>
      </c>
      <c r="C36" s="547" t="s">
        <v>534</v>
      </c>
      <c r="D36" s="22">
        <v>915</v>
      </c>
      <c r="E36" s="22">
        <f t="shared" si="4"/>
        <v>2745</v>
      </c>
      <c r="F36" s="548">
        <v>158</v>
      </c>
      <c r="G36" s="548">
        <v>158</v>
      </c>
      <c r="H36" s="549">
        <f t="shared" si="5"/>
        <v>0.17267759562841531</v>
      </c>
      <c r="I36" s="549">
        <f t="shared" si="5"/>
        <v>5.7559198542805098E-2</v>
      </c>
      <c r="K36" s="551"/>
    </row>
    <row r="37" spans="2:11">
      <c r="B37" s="547">
        <v>4</v>
      </c>
      <c r="C37" s="547" t="s">
        <v>535</v>
      </c>
      <c r="D37" s="22">
        <v>40</v>
      </c>
      <c r="E37" s="22">
        <f t="shared" si="4"/>
        <v>160</v>
      </c>
      <c r="F37" s="548">
        <v>20</v>
      </c>
      <c r="G37" s="548">
        <v>30</v>
      </c>
      <c r="H37" s="549">
        <f t="shared" si="5"/>
        <v>0.5</v>
      </c>
      <c r="I37" s="549">
        <f t="shared" si="5"/>
        <v>0.1875</v>
      </c>
      <c r="K37" s="551"/>
    </row>
    <row r="38" spans="2:11">
      <c r="B38" s="547">
        <v>5</v>
      </c>
      <c r="C38" s="547" t="s">
        <v>536</v>
      </c>
      <c r="D38" s="22">
        <v>327</v>
      </c>
      <c r="E38" s="22">
        <f t="shared" si="4"/>
        <v>1635</v>
      </c>
      <c r="F38" s="548">
        <v>172</v>
      </c>
      <c r="G38" s="548">
        <v>183</v>
      </c>
      <c r="H38" s="549">
        <f t="shared" si="5"/>
        <v>0.52599388379204892</v>
      </c>
      <c r="I38" s="549">
        <f t="shared" si="5"/>
        <v>0.11192660550458716</v>
      </c>
      <c r="K38" s="551"/>
    </row>
    <row r="39" spans="2:11">
      <c r="B39" s="547">
        <v>6</v>
      </c>
      <c r="C39" s="547" t="s">
        <v>537</v>
      </c>
      <c r="D39" s="22">
        <v>115</v>
      </c>
      <c r="E39" s="22">
        <f t="shared" si="4"/>
        <v>690</v>
      </c>
      <c r="F39" s="548">
        <v>78</v>
      </c>
      <c r="G39" s="548">
        <v>127</v>
      </c>
      <c r="H39" s="549">
        <f t="shared" si="5"/>
        <v>0.67826086956521736</v>
      </c>
      <c r="I39" s="549">
        <f t="shared" si="5"/>
        <v>0.18405797101449275</v>
      </c>
      <c r="K39" s="551"/>
    </row>
    <row r="40" spans="2:11">
      <c r="B40" s="547">
        <v>7</v>
      </c>
      <c r="C40" s="547" t="s">
        <v>538</v>
      </c>
      <c r="D40" s="22">
        <v>12</v>
      </c>
      <c r="E40" s="22">
        <f t="shared" si="4"/>
        <v>84</v>
      </c>
      <c r="F40" s="548">
        <v>3</v>
      </c>
      <c r="G40" s="548">
        <v>8</v>
      </c>
      <c r="H40" s="549">
        <f t="shared" si="5"/>
        <v>0.25</v>
      </c>
      <c r="I40" s="549">
        <f t="shared" si="5"/>
        <v>9.5238095238095233E-2</v>
      </c>
      <c r="K40" s="551"/>
    </row>
    <row r="41" spans="2:11">
      <c r="B41" s="547">
        <v>8</v>
      </c>
      <c r="C41" s="547" t="s">
        <v>539</v>
      </c>
      <c r="D41" s="22">
        <v>0</v>
      </c>
      <c r="E41" s="22">
        <f t="shared" si="4"/>
        <v>0</v>
      </c>
      <c r="F41" s="548">
        <v>0</v>
      </c>
      <c r="G41" s="548">
        <v>0</v>
      </c>
      <c r="H41" s="549">
        <f t="shared" si="5"/>
        <v>0</v>
      </c>
      <c r="I41" s="549">
        <f t="shared" si="5"/>
        <v>0</v>
      </c>
      <c r="K41" s="551"/>
    </row>
    <row r="42" spans="2:11">
      <c r="B42" s="547">
        <v>9</v>
      </c>
      <c r="C42" s="547" t="s">
        <v>540</v>
      </c>
      <c r="D42" s="22">
        <v>0</v>
      </c>
      <c r="E42" s="22">
        <f t="shared" si="4"/>
        <v>0</v>
      </c>
      <c r="F42" s="548">
        <v>0</v>
      </c>
      <c r="G42" s="548">
        <v>0</v>
      </c>
      <c r="H42" s="549">
        <f t="shared" si="5"/>
        <v>0</v>
      </c>
      <c r="I42" s="549">
        <f t="shared" si="5"/>
        <v>0</v>
      </c>
      <c r="K42" s="551"/>
    </row>
    <row r="43" spans="2:11">
      <c r="B43" s="547">
        <v>1.5</v>
      </c>
      <c r="C43" s="547" t="s">
        <v>541</v>
      </c>
      <c r="D43" s="22">
        <v>91</v>
      </c>
      <c r="E43" s="22">
        <f t="shared" si="4"/>
        <v>136.5</v>
      </c>
      <c r="F43" s="548">
        <v>0</v>
      </c>
      <c r="G43" s="548">
        <v>0</v>
      </c>
      <c r="H43" s="549">
        <f t="shared" si="5"/>
        <v>0</v>
      </c>
      <c r="I43" s="549">
        <f t="shared" si="5"/>
        <v>0</v>
      </c>
    </row>
    <row r="44" spans="2:11">
      <c r="B44" s="547">
        <v>2</v>
      </c>
      <c r="C44" s="547" t="s">
        <v>542</v>
      </c>
      <c r="D44" s="22">
        <v>8</v>
      </c>
      <c r="E44" s="22">
        <f t="shared" si="4"/>
        <v>16</v>
      </c>
      <c r="F44" s="548">
        <v>0</v>
      </c>
      <c r="G44" s="548">
        <v>0</v>
      </c>
      <c r="H44" s="549">
        <f t="shared" si="5"/>
        <v>0</v>
      </c>
      <c r="I44" s="549">
        <f t="shared" si="5"/>
        <v>0</v>
      </c>
    </row>
    <row r="45" spans="2:11">
      <c r="B45" s="547">
        <v>0.5</v>
      </c>
      <c r="C45" s="547" t="s">
        <v>543</v>
      </c>
      <c r="D45" s="22">
        <v>2726</v>
      </c>
      <c r="E45" s="22">
        <f t="shared" si="4"/>
        <v>1363</v>
      </c>
      <c r="F45" s="548">
        <v>0</v>
      </c>
      <c r="G45" s="548">
        <v>0</v>
      </c>
      <c r="H45" s="549">
        <f t="shared" si="5"/>
        <v>0</v>
      </c>
      <c r="I45" s="549">
        <f t="shared" si="5"/>
        <v>0</v>
      </c>
    </row>
    <row r="46" spans="2:11" ht="15">
      <c r="B46" s="547"/>
      <c r="C46" s="545" t="s">
        <v>4</v>
      </c>
      <c r="D46" s="552">
        <f>SUM(D34:D45)</f>
        <v>20366</v>
      </c>
      <c r="E46" s="552">
        <f>SUM(E34:E45)</f>
        <v>23801.5</v>
      </c>
      <c r="F46" s="553">
        <f>SUM(F34:F45)</f>
        <v>431</v>
      </c>
      <c r="G46" s="553">
        <f>SUM(G34:G45)</f>
        <v>506</v>
      </c>
      <c r="H46" s="554">
        <f t="shared" si="5"/>
        <v>2.1162722184032211E-2</v>
      </c>
      <c r="I46" s="554">
        <f t="shared" si="5"/>
        <v>2.1259164338382035E-2</v>
      </c>
    </row>
    <row r="48" spans="2:11" ht="30">
      <c r="B48" s="545" t="s">
        <v>524</v>
      </c>
      <c r="C48" s="545" t="s">
        <v>546</v>
      </c>
      <c r="D48" s="545" t="s">
        <v>526</v>
      </c>
      <c r="E48" s="545" t="s">
        <v>527</v>
      </c>
      <c r="F48" s="546" t="s">
        <v>528</v>
      </c>
      <c r="G48" s="546" t="s">
        <v>529</v>
      </c>
      <c r="H48" s="546" t="s">
        <v>530</v>
      </c>
      <c r="I48" s="546" t="s">
        <v>531</v>
      </c>
    </row>
    <row r="49" spans="2:11">
      <c r="B49" s="547">
        <v>1</v>
      </c>
      <c r="C49" s="547" t="s">
        <v>532</v>
      </c>
      <c r="D49" s="22">
        <v>11881</v>
      </c>
      <c r="E49" s="22">
        <f t="shared" ref="E49:E60" si="6">B49*D49</f>
        <v>11881</v>
      </c>
      <c r="F49" s="548">
        <v>0</v>
      </c>
      <c r="G49" s="548">
        <v>0</v>
      </c>
      <c r="H49" s="549">
        <f t="shared" ref="H49:I61" si="7">IFERROR(F49/D49,0)</f>
        <v>0</v>
      </c>
      <c r="I49" s="549">
        <f t="shared" si="7"/>
        <v>0</v>
      </c>
    </row>
    <row r="50" spans="2:11">
      <c r="B50" s="547">
        <v>2</v>
      </c>
      <c r="C50" s="547" t="s">
        <v>533</v>
      </c>
      <c r="D50" s="22">
        <v>1364</v>
      </c>
      <c r="E50" s="22">
        <f t="shared" si="6"/>
        <v>2728</v>
      </c>
      <c r="F50" s="548">
        <v>0</v>
      </c>
      <c r="G50" s="548">
        <v>0</v>
      </c>
      <c r="H50" s="549">
        <f t="shared" si="7"/>
        <v>0</v>
      </c>
      <c r="I50" s="549">
        <f t="shared" si="7"/>
        <v>0</v>
      </c>
    </row>
    <row r="51" spans="2:11">
      <c r="B51" s="547">
        <v>3</v>
      </c>
      <c r="C51" s="547" t="s">
        <v>534</v>
      </c>
      <c r="D51" s="22">
        <v>2829</v>
      </c>
      <c r="E51" s="22">
        <f>B51*D51</f>
        <v>8487</v>
      </c>
      <c r="F51" s="548">
        <v>1588</v>
      </c>
      <c r="G51" s="548">
        <v>1588</v>
      </c>
      <c r="H51" s="549">
        <f t="shared" si="7"/>
        <v>0.56132909155178512</v>
      </c>
      <c r="I51" s="549">
        <f t="shared" si="7"/>
        <v>0.18710969718392836</v>
      </c>
      <c r="K51" s="551"/>
    </row>
    <row r="52" spans="2:11">
      <c r="B52" s="547">
        <v>4</v>
      </c>
      <c r="C52" s="547" t="s">
        <v>535</v>
      </c>
      <c r="D52" s="22">
        <v>1168</v>
      </c>
      <c r="E52" s="22">
        <f t="shared" si="6"/>
        <v>4672</v>
      </c>
      <c r="F52" s="548">
        <v>947</v>
      </c>
      <c r="G52" s="548">
        <v>1613</v>
      </c>
      <c r="H52" s="549">
        <f t="shared" si="7"/>
        <v>0.81078767123287676</v>
      </c>
      <c r="I52" s="549">
        <f t="shared" si="7"/>
        <v>0.34524828767123289</v>
      </c>
      <c r="K52" s="551"/>
    </row>
    <row r="53" spans="2:11">
      <c r="B53" s="547">
        <v>5</v>
      </c>
      <c r="C53" s="547" t="s">
        <v>536</v>
      </c>
      <c r="D53" s="22">
        <v>2247</v>
      </c>
      <c r="E53" s="22">
        <f t="shared" si="6"/>
        <v>11235</v>
      </c>
      <c r="F53" s="548">
        <v>1056</v>
      </c>
      <c r="G53" s="548">
        <v>1098</v>
      </c>
      <c r="H53" s="549">
        <f t="shared" si="7"/>
        <v>0.46995994659546059</v>
      </c>
      <c r="I53" s="549">
        <f t="shared" si="7"/>
        <v>9.7730307076101475E-2</v>
      </c>
      <c r="K53" s="551"/>
    </row>
    <row r="54" spans="2:11">
      <c r="B54" s="547">
        <v>6</v>
      </c>
      <c r="C54" s="547" t="s">
        <v>537</v>
      </c>
      <c r="D54" s="22">
        <v>918</v>
      </c>
      <c r="E54" s="22">
        <f t="shared" si="6"/>
        <v>5508</v>
      </c>
      <c r="F54" s="548">
        <v>677</v>
      </c>
      <c r="G54" s="548">
        <v>1220</v>
      </c>
      <c r="H54" s="549">
        <f t="shared" si="7"/>
        <v>0.73747276688453156</v>
      </c>
      <c r="I54" s="549">
        <f t="shared" si="7"/>
        <v>0.22149600580973131</v>
      </c>
      <c r="K54" s="551"/>
    </row>
    <row r="55" spans="2:11">
      <c r="B55" s="547">
        <v>7</v>
      </c>
      <c r="C55" s="547" t="s">
        <v>538</v>
      </c>
      <c r="D55" s="22">
        <v>274</v>
      </c>
      <c r="E55" s="22">
        <f t="shared" si="6"/>
        <v>1918</v>
      </c>
      <c r="F55" s="548">
        <v>180</v>
      </c>
      <c r="G55" s="548">
        <v>449</v>
      </c>
      <c r="H55" s="549">
        <f t="shared" si="7"/>
        <v>0.65693430656934304</v>
      </c>
      <c r="I55" s="549">
        <f t="shared" si="7"/>
        <v>0.23409801876955161</v>
      </c>
      <c r="K55" s="551"/>
    </row>
    <row r="56" spans="2:11">
      <c r="B56" s="547">
        <v>8</v>
      </c>
      <c r="C56" s="547" t="s">
        <v>539</v>
      </c>
      <c r="D56" s="22">
        <v>14</v>
      </c>
      <c r="E56" s="22">
        <f t="shared" si="6"/>
        <v>112</v>
      </c>
      <c r="F56" s="548">
        <v>0</v>
      </c>
      <c r="G56" s="548">
        <v>0</v>
      </c>
      <c r="H56" s="549">
        <f t="shared" si="7"/>
        <v>0</v>
      </c>
      <c r="I56" s="549">
        <f t="shared" si="7"/>
        <v>0</v>
      </c>
      <c r="K56" s="551"/>
    </row>
    <row r="57" spans="2:11">
      <c r="B57" s="547">
        <v>9</v>
      </c>
      <c r="C57" s="547" t="s">
        <v>540</v>
      </c>
      <c r="D57" s="22">
        <v>83</v>
      </c>
      <c r="E57" s="22">
        <f t="shared" si="6"/>
        <v>747</v>
      </c>
      <c r="F57" s="548">
        <v>50</v>
      </c>
      <c r="G57" s="548">
        <v>106</v>
      </c>
      <c r="H57" s="549">
        <f t="shared" si="7"/>
        <v>0.60240963855421692</v>
      </c>
      <c r="I57" s="549">
        <f t="shared" si="7"/>
        <v>0.14190093708165996</v>
      </c>
      <c r="K57" s="551"/>
    </row>
    <row r="58" spans="2:11">
      <c r="B58" s="547">
        <v>1.5</v>
      </c>
      <c r="C58" s="547" t="s">
        <v>541</v>
      </c>
      <c r="D58" s="22">
        <v>29</v>
      </c>
      <c r="E58" s="22">
        <f t="shared" si="6"/>
        <v>43.5</v>
      </c>
      <c r="F58" s="548">
        <v>0</v>
      </c>
      <c r="G58" s="548">
        <v>0</v>
      </c>
      <c r="H58" s="549">
        <f t="shared" si="7"/>
        <v>0</v>
      </c>
      <c r="I58" s="549">
        <f t="shared" si="7"/>
        <v>0</v>
      </c>
    </row>
    <row r="59" spans="2:11">
      <c r="B59" s="547">
        <v>2</v>
      </c>
      <c r="C59" s="547" t="s">
        <v>542</v>
      </c>
      <c r="D59" s="22">
        <v>6</v>
      </c>
      <c r="E59" s="22">
        <f t="shared" si="6"/>
        <v>12</v>
      </c>
      <c r="F59" s="548">
        <v>0</v>
      </c>
      <c r="G59" s="548">
        <v>0</v>
      </c>
      <c r="H59" s="549">
        <f t="shared" si="7"/>
        <v>0</v>
      </c>
      <c r="I59" s="549">
        <f t="shared" si="7"/>
        <v>0</v>
      </c>
    </row>
    <row r="60" spans="2:11">
      <c r="B60" s="547">
        <v>0.5</v>
      </c>
      <c r="C60" s="547" t="s">
        <v>543</v>
      </c>
      <c r="D60" s="22">
        <v>2609</v>
      </c>
      <c r="E60" s="22">
        <f t="shared" si="6"/>
        <v>1304.5</v>
      </c>
      <c r="F60" s="548">
        <v>0</v>
      </c>
      <c r="G60" s="548">
        <v>0</v>
      </c>
      <c r="H60" s="549">
        <f t="shared" si="7"/>
        <v>0</v>
      </c>
      <c r="I60" s="549">
        <f t="shared" si="7"/>
        <v>0</v>
      </c>
    </row>
    <row r="61" spans="2:11" ht="15">
      <c r="B61" s="547"/>
      <c r="C61" s="545" t="s">
        <v>4</v>
      </c>
      <c r="D61" s="552">
        <f>SUM(D49:D60)</f>
        <v>23422</v>
      </c>
      <c r="E61" s="552">
        <f>SUM(E49:E60)</f>
        <v>48648</v>
      </c>
      <c r="F61" s="553">
        <f>SUM(F49:F60)</f>
        <v>4498</v>
      </c>
      <c r="G61" s="553">
        <f>SUM(G49:G60)</f>
        <v>6074</v>
      </c>
      <c r="H61" s="554">
        <f t="shared" si="7"/>
        <v>0.19204167022457519</v>
      </c>
      <c r="I61" s="554">
        <f t="shared" si="7"/>
        <v>0.12485610919256701</v>
      </c>
    </row>
    <row r="63" spans="2:11" ht="30">
      <c r="B63" s="545" t="s">
        <v>524</v>
      </c>
      <c r="C63" s="545" t="s">
        <v>547</v>
      </c>
      <c r="D63" s="545" t="s">
        <v>526</v>
      </c>
      <c r="E63" s="545" t="s">
        <v>527</v>
      </c>
      <c r="F63" s="546" t="s">
        <v>528</v>
      </c>
      <c r="G63" s="546" t="s">
        <v>529</v>
      </c>
      <c r="H63" s="546" t="s">
        <v>530</v>
      </c>
      <c r="I63" s="546" t="s">
        <v>531</v>
      </c>
    </row>
    <row r="64" spans="2:11">
      <c r="B64" s="547">
        <v>1</v>
      </c>
      <c r="C64" s="547" t="s">
        <v>532</v>
      </c>
      <c r="D64" s="22">
        <v>5635</v>
      </c>
      <c r="E64" s="22">
        <f t="shared" ref="E64:E75" si="8">B64*D64</f>
        <v>5635</v>
      </c>
      <c r="F64" s="548">
        <v>0</v>
      </c>
      <c r="G64" s="548">
        <v>0</v>
      </c>
      <c r="H64" s="549">
        <f t="shared" ref="H64:I76" si="9">IFERROR(F64/D64,0)</f>
        <v>0</v>
      </c>
      <c r="I64" s="549">
        <f t="shared" si="9"/>
        <v>0</v>
      </c>
    </row>
    <row r="65" spans="2:11">
      <c r="B65" s="547">
        <v>2</v>
      </c>
      <c r="C65" s="547" t="s">
        <v>533</v>
      </c>
      <c r="D65" s="22">
        <v>528</v>
      </c>
      <c r="E65" s="22">
        <f t="shared" si="8"/>
        <v>1056</v>
      </c>
      <c r="F65" s="548">
        <v>0</v>
      </c>
      <c r="G65" s="548">
        <v>0</v>
      </c>
      <c r="H65" s="549">
        <f t="shared" si="9"/>
        <v>0</v>
      </c>
      <c r="I65" s="549">
        <f t="shared" si="9"/>
        <v>0</v>
      </c>
    </row>
    <row r="66" spans="2:11">
      <c r="B66" s="547">
        <v>3</v>
      </c>
      <c r="C66" s="547" t="s">
        <v>534</v>
      </c>
      <c r="D66" s="22">
        <v>538</v>
      </c>
      <c r="E66" s="22">
        <f t="shared" si="8"/>
        <v>1614</v>
      </c>
      <c r="F66" s="548">
        <v>322</v>
      </c>
      <c r="G66" s="548">
        <v>322</v>
      </c>
      <c r="H66" s="549">
        <f t="shared" si="9"/>
        <v>0.5985130111524164</v>
      </c>
      <c r="I66" s="549">
        <f t="shared" si="9"/>
        <v>0.19950433705080545</v>
      </c>
      <c r="K66" s="551"/>
    </row>
    <row r="67" spans="2:11">
      <c r="B67" s="547">
        <v>4</v>
      </c>
      <c r="C67" s="547" t="s">
        <v>535</v>
      </c>
      <c r="D67" s="22">
        <v>119</v>
      </c>
      <c r="E67" s="22">
        <f t="shared" si="8"/>
        <v>476</v>
      </c>
      <c r="F67" s="548">
        <v>100</v>
      </c>
      <c r="G67" s="548">
        <v>177</v>
      </c>
      <c r="H67" s="549">
        <f t="shared" si="9"/>
        <v>0.84033613445378152</v>
      </c>
      <c r="I67" s="549">
        <f t="shared" si="9"/>
        <v>0.37184873949579833</v>
      </c>
      <c r="K67" s="551"/>
    </row>
    <row r="68" spans="2:11">
      <c r="B68" s="547">
        <v>5</v>
      </c>
      <c r="C68" s="547" t="s">
        <v>536</v>
      </c>
      <c r="D68" s="22">
        <v>262</v>
      </c>
      <c r="E68" s="22">
        <f t="shared" si="8"/>
        <v>1310</v>
      </c>
      <c r="F68" s="548">
        <v>133</v>
      </c>
      <c r="G68" s="548">
        <v>143</v>
      </c>
      <c r="H68" s="549">
        <f t="shared" si="9"/>
        <v>0.50763358778625955</v>
      </c>
      <c r="I68" s="549">
        <f t="shared" si="9"/>
        <v>0.10916030534351145</v>
      </c>
      <c r="K68" s="551"/>
    </row>
    <row r="69" spans="2:11">
      <c r="B69" s="547">
        <v>6</v>
      </c>
      <c r="C69" s="547" t="s">
        <v>537</v>
      </c>
      <c r="D69" s="22">
        <v>105</v>
      </c>
      <c r="E69" s="22">
        <f t="shared" si="8"/>
        <v>630</v>
      </c>
      <c r="F69" s="548">
        <v>91</v>
      </c>
      <c r="G69" s="548">
        <v>159</v>
      </c>
      <c r="H69" s="549">
        <f t="shared" si="9"/>
        <v>0.8666666666666667</v>
      </c>
      <c r="I69" s="549">
        <f t="shared" si="9"/>
        <v>0.25238095238095237</v>
      </c>
      <c r="K69" s="551"/>
    </row>
    <row r="70" spans="2:11">
      <c r="B70" s="547">
        <v>7</v>
      </c>
      <c r="C70" s="547" t="s">
        <v>538</v>
      </c>
      <c r="D70" s="22">
        <v>50</v>
      </c>
      <c r="E70" s="22">
        <f t="shared" si="8"/>
        <v>350</v>
      </c>
      <c r="F70" s="548">
        <v>30</v>
      </c>
      <c r="G70" s="548">
        <v>75</v>
      </c>
      <c r="H70" s="549">
        <f t="shared" si="9"/>
        <v>0.6</v>
      </c>
      <c r="I70" s="549">
        <f t="shared" si="9"/>
        <v>0.21428571428571427</v>
      </c>
      <c r="K70" s="551"/>
    </row>
    <row r="71" spans="2:11">
      <c r="B71" s="547">
        <v>8</v>
      </c>
      <c r="C71" s="547" t="s">
        <v>539</v>
      </c>
      <c r="D71" s="22">
        <v>0</v>
      </c>
      <c r="E71" s="22">
        <f t="shared" si="8"/>
        <v>0</v>
      </c>
      <c r="F71" s="548">
        <v>0</v>
      </c>
      <c r="G71" s="548">
        <v>0</v>
      </c>
      <c r="H71" s="549">
        <f t="shared" si="9"/>
        <v>0</v>
      </c>
      <c r="I71" s="549">
        <f t="shared" si="9"/>
        <v>0</v>
      </c>
      <c r="K71" s="551"/>
    </row>
    <row r="72" spans="2:11">
      <c r="B72" s="547">
        <v>9</v>
      </c>
      <c r="C72" s="547" t="s">
        <v>540</v>
      </c>
      <c r="D72" s="22">
        <v>11</v>
      </c>
      <c r="E72" s="22">
        <f t="shared" si="8"/>
        <v>99</v>
      </c>
      <c r="F72" s="548">
        <v>6</v>
      </c>
      <c r="G72" s="548">
        <v>12</v>
      </c>
      <c r="H72" s="549">
        <f t="shared" si="9"/>
        <v>0.54545454545454541</v>
      </c>
      <c r="I72" s="549">
        <f t="shared" si="9"/>
        <v>0.12121212121212122</v>
      </c>
      <c r="K72" s="551"/>
    </row>
    <row r="73" spans="2:11">
      <c r="B73" s="547">
        <v>1.5</v>
      </c>
      <c r="C73" s="547" t="s">
        <v>541</v>
      </c>
      <c r="D73" s="22">
        <v>8</v>
      </c>
      <c r="E73" s="22">
        <f t="shared" si="8"/>
        <v>12</v>
      </c>
      <c r="F73" s="548">
        <v>0</v>
      </c>
      <c r="G73" s="548">
        <v>0</v>
      </c>
      <c r="H73" s="549">
        <f t="shared" si="9"/>
        <v>0</v>
      </c>
      <c r="I73" s="549">
        <f t="shared" si="9"/>
        <v>0</v>
      </c>
    </row>
    <row r="74" spans="2:11">
      <c r="B74" s="547">
        <v>2</v>
      </c>
      <c r="C74" s="547" t="s">
        <v>542</v>
      </c>
      <c r="D74" s="22">
        <v>1</v>
      </c>
      <c r="E74" s="22">
        <f t="shared" si="8"/>
        <v>2</v>
      </c>
      <c r="F74" s="548">
        <v>0</v>
      </c>
      <c r="G74" s="548">
        <v>0</v>
      </c>
      <c r="H74" s="549">
        <f t="shared" si="9"/>
        <v>0</v>
      </c>
      <c r="I74" s="549">
        <f t="shared" si="9"/>
        <v>0</v>
      </c>
    </row>
    <row r="75" spans="2:11">
      <c r="B75" s="547">
        <v>0.5</v>
      </c>
      <c r="C75" s="547" t="s">
        <v>543</v>
      </c>
      <c r="D75" s="22">
        <v>1298</v>
      </c>
      <c r="E75" s="22">
        <f t="shared" si="8"/>
        <v>649</v>
      </c>
      <c r="F75" s="548">
        <v>0</v>
      </c>
      <c r="G75" s="548">
        <v>0</v>
      </c>
      <c r="H75" s="549">
        <f t="shared" si="9"/>
        <v>0</v>
      </c>
      <c r="I75" s="549">
        <f t="shared" si="9"/>
        <v>0</v>
      </c>
    </row>
    <row r="76" spans="2:11" ht="15">
      <c r="B76" s="547"/>
      <c r="C76" s="545" t="s">
        <v>4</v>
      </c>
      <c r="D76" s="552">
        <f>SUM(D64:D75)</f>
        <v>8555</v>
      </c>
      <c r="E76" s="552">
        <f>SUM(E64:E75)</f>
        <v>11833</v>
      </c>
      <c r="F76" s="553">
        <f>SUM(F64:F75)</f>
        <v>682</v>
      </c>
      <c r="G76" s="553">
        <f>SUM(G64:G75)</f>
        <v>888</v>
      </c>
      <c r="H76" s="554">
        <f t="shared" si="9"/>
        <v>7.971946230274693E-2</v>
      </c>
      <c r="I76" s="554">
        <f t="shared" si="9"/>
        <v>7.5044367446970336E-2</v>
      </c>
    </row>
    <row r="78" spans="2:11" ht="30">
      <c r="B78" s="545" t="s">
        <v>524</v>
      </c>
      <c r="C78" s="545" t="s">
        <v>548</v>
      </c>
      <c r="D78" s="545" t="s">
        <v>526</v>
      </c>
      <c r="E78" s="545" t="s">
        <v>527</v>
      </c>
      <c r="F78" s="546" t="s">
        <v>528</v>
      </c>
      <c r="G78" s="546" t="s">
        <v>529</v>
      </c>
      <c r="H78" s="546" t="s">
        <v>530</v>
      </c>
      <c r="I78" s="546" t="s">
        <v>531</v>
      </c>
    </row>
    <row r="79" spans="2:11">
      <c r="B79" s="547">
        <v>1</v>
      </c>
      <c r="C79" s="547" t="s">
        <v>532</v>
      </c>
      <c r="D79" s="22">
        <v>55466</v>
      </c>
      <c r="E79" s="22">
        <f t="shared" ref="E79:E90" si="10">B79*D79</f>
        <v>55466</v>
      </c>
      <c r="F79" s="548">
        <v>0</v>
      </c>
      <c r="G79" s="548">
        <v>0</v>
      </c>
      <c r="H79" s="549">
        <f t="shared" ref="H79:I91" si="11">IFERROR(F79/D79,0)</f>
        <v>0</v>
      </c>
      <c r="I79" s="549">
        <f t="shared" si="11"/>
        <v>0</v>
      </c>
    </row>
    <row r="80" spans="2:11">
      <c r="B80" s="547">
        <v>2</v>
      </c>
      <c r="C80" s="547" t="s">
        <v>533</v>
      </c>
      <c r="D80" s="22">
        <v>1090</v>
      </c>
      <c r="E80" s="22">
        <f t="shared" si="10"/>
        <v>2180</v>
      </c>
      <c r="F80" s="548">
        <v>0</v>
      </c>
      <c r="G80" s="548">
        <v>0</v>
      </c>
      <c r="H80" s="549">
        <f t="shared" si="11"/>
        <v>0</v>
      </c>
      <c r="I80" s="549">
        <f t="shared" si="11"/>
        <v>0</v>
      </c>
    </row>
    <row r="81" spans="1:11">
      <c r="B81" s="547">
        <v>3</v>
      </c>
      <c r="C81" s="547" t="s">
        <v>534</v>
      </c>
      <c r="D81" s="22">
        <v>331</v>
      </c>
      <c r="E81" s="22">
        <f t="shared" si="10"/>
        <v>993</v>
      </c>
      <c r="F81" s="548">
        <v>152</v>
      </c>
      <c r="G81" s="548">
        <v>152</v>
      </c>
      <c r="H81" s="549">
        <f t="shared" si="11"/>
        <v>0.45921450151057402</v>
      </c>
      <c r="I81" s="549">
        <f t="shared" si="11"/>
        <v>0.15307150050352467</v>
      </c>
      <c r="K81" s="551"/>
    </row>
    <row r="82" spans="1:11">
      <c r="B82" s="547">
        <v>4</v>
      </c>
      <c r="C82" s="547" t="s">
        <v>535</v>
      </c>
      <c r="D82" s="22">
        <v>66</v>
      </c>
      <c r="E82" s="22">
        <f t="shared" si="10"/>
        <v>264</v>
      </c>
      <c r="F82" s="548">
        <v>53</v>
      </c>
      <c r="G82" s="548">
        <v>80</v>
      </c>
      <c r="H82" s="549">
        <f t="shared" si="11"/>
        <v>0.80303030303030298</v>
      </c>
      <c r="I82" s="549">
        <f t="shared" si="11"/>
        <v>0.30303030303030304</v>
      </c>
      <c r="K82" s="551"/>
    </row>
    <row r="83" spans="1:11">
      <c r="B83" s="547">
        <v>5</v>
      </c>
      <c r="C83" s="547" t="s">
        <v>536</v>
      </c>
      <c r="D83" s="22">
        <v>31</v>
      </c>
      <c r="E83" s="22">
        <f t="shared" si="10"/>
        <v>155</v>
      </c>
      <c r="F83" s="548">
        <v>14</v>
      </c>
      <c r="G83" s="548">
        <v>22</v>
      </c>
      <c r="H83" s="549">
        <f t="shared" si="11"/>
        <v>0.45161290322580644</v>
      </c>
      <c r="I83" s="549">
        <f t="shared" si="11"/>
        <v>0.14193548387096774</v>
      </c>
      <c r="K83" s="551"/>
    </row>
    <row r="84" spans="1:11">
      <c r="B84" s="547">
        <v>6</v>
      </c>
      <c r="C84" s="547" t="s">
        <v>537</v>
      </c>
      <c r="D84" s="22">
        <v>38</v>
      </c>
      <c r="E84" s="22">
        <f t="shared" si="10"/>
        <v>228</v>
      </c>
      <c r="F84" s="548">
        <v>32</v>
      </c>
      <c r="G84" s="548">
        <v>62</v>
      </c>
      <c r="H84" s="549">
        <f t="shared" si="11"/>
        <v>0.84210526315789469</v>
      </c>
      <c r="I84" s="549">
        <f t="shared" si="11"/>
        <v>0.27192982456140352</v>
      </c>
      <c r="K84" s="551"/>
    </row>
    <row r="85" spans="1:11">
      <c r="B85" s="547">
        <v>7</v>
      </c>
      <c r="C85" s="547" t="s">
        <v>538</v>
      </c>
      <c r="D85" s="22">
        <v>0</v>
      </c>
      <c r="E85" s="22">
        <f t="shared" si="10"/>
        <v>0</v>
      </c>
      <c r="F85" s="548">
        <v>0</v>
      </c>
      <c r="G85" s="548">
        <v>0</v>
      </c>
      <c r="H85" s="549">
        <f t="shared" si="11"/>
        <v>0</v>
      </c>
      <c r="I85" s="549">
        <f t="shared" si="11"/>
        <v>0</v>
      </c>
      <c r="K85" s="551"/>
    </row>
    <row r="86" spans="1:11">
      <c r="B86" s="547">
        <v>8</v>
      </c>
      <c r="C86" s="547" t="s">
        <v>539</v>
      </c>
      <c r="D86" s="22">
        <v>0</v>
      </c>
      <c r="E86" s="22">
        <f t="shared" si="10"/>
        <v>0</v>
      </c>
      <c r="F86" s="548">
        <v>0</v>
      </c>
      <c r="G86" s="548">
        <v>0</v>
      </c>
      <c r="H86" s="549">
        <f t="shared" si="11"/>
        <v>0</v>
      </c>
      <c r="I86" s="549">
        <f t="shared" si="11"/>
        <v>0</v>
      </c>
      <c r="K86" s="551"/>
    </row>
    <row r="87" spans="1:11">
      <c r="B87" s="547">
        <v>9</v>
      </c>
      <c r="C87" s="547" t="s">
        <v>540</v>
      </c>
      <c r="D87" s="22">
        <v>1</v>
      </c>
      <c r="E87" s="22">
        <f t="shared" si="10"/>
        <v>9</v>
      </c>
      <c r="F87" s="548">
        <v>0</v>
      </c>
      <c r="G87" s="548">
        <v>0</v>
      </c>
      <c r="H87" s="549">
        <f t="shared" si="11"/>
        <v>0</v>
      </c>
      <c r="I87" s="549">
        <f t="shared" si="11"/>
        <v>0</v>
      </c>
      <c r="K87" s="551"/>
    </row>
    <row r="88" spans="1:11">
      <c r="B88" s="547">
        <v>1.5</v>
      </c>
      <c r="C88" s="547" t="s">
        <v>541</v>
      </c>
      <c r="D88" s="22">
        <v>442</v>
      </c>
      <c r="E88" s="22">
        <f t="shared" si="10"/>
        <v>663</v>
      </c>
      <c r="F88" s="548">
        <v>0</v>
      </c>
      <c r="G88" s="548">
        <v>0</v>
      </c>
      <c r="H88" s="549">
        <f t="shared" si="11"/>
        <v>0</v>
      </c>
      <c r="I88" s="549">
        <f t="shared" si="11"/>
        <v>0</v>
      </c>
    </row>
    <row r="89" spans="1:11">
      <c r="B89" s="547">
        <v>2</v>
      </c>
      <c r="C89" s="547" t="s">
        <v>542</v>
      </c>
      <c r="D89" s="22">
        <v>36</v>
      </c>
      <c r="E89" s="22">
        <f t="shared" si="10"/>
        <v>72</v>
      </c>
      <c r="F89" s="548">
        <v>0</v>
      </c>
      <c r="G89" s="548">
        <v>0</v>
      </c>
      <c r="H89" s="549">
        <f t="shared" si="11"/>
        <v>0</v>
      </c>
      <c r="I89" s="549">
        <f t="shared" si="11"/>
        <v>0</v>
      </c>
    </row>
    <row r="90" spans="1:11">
      <c r="B90" s="547">
        <v>0.5</v>
      </c>
      <c r="C90" s="547" t="s">
        <v>543</v>
      </c>
      <c r="D90" s="22">
        <v>5642</v>
      </c>
      <c r="E90" s="22">
        <f t="shared" si="10"/>
        <v>2821</v>
      </c>
      <c r="F90" s="548">
        <v>0</v>
      </c>
      <c r="G90" s="548">
        <v>0</v>
      </c>
      <c r="H90" s="549">
        <f t="shared" si="11"/>
        <v>0</v>
      </c>
      <c r="I90" s="549">
        <f t="shared" si="11"/>
        <v>0</v>
      </c>
    </row>
    <row r="91" spans="1:11" ht="15">
      <c r="B91" s="547"/>
      <c r="C91" s="545" t="s">
        <v>4</v>
      </c>
      <c r="D91" s="552">
        <f>SUM(D79:D90)</f>
        <v>63143</v>
      </c>
      <c r="E91" s="552">
        <f>SUM(E79:E90)</f>
        <v>62851</v>
      </c>
      <c r="F91" s="553">
        <f>SUM(F79:F90)</f>
        <v>251</v>
      </c>
      <c r="G91" s="553">
        <f>SUM(G79:G90)</f>
        <v>316</v>
      </c>
      <c r="H91" s="554">
        <f t="shared" si="11"/>
        <v>3.9751041287236907E-3</v>
      </c>
      <c r="I91" s="554">
        <f t="shared" si="11"/>
        <v>5.0277640769438832E-3</v>
      </c>
    </row>
    <row r="92" spans="1:11">
      <c r="A92" s="23" t="s">
        <v>482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Planilha24">
    <tabColor rgb="FF00B050"/>
  </sheetPr>
  <dimension ref="A2:AV52"/>
  <sheetViews>
    <sheetView showGridLines="0" zoomScale="80" zoomScaleNormal="80" workbookViewId="0">
      <selection activeCell="D8" sqref="D8"/>
    </sheetView>
  </sheetViews>
  <sheetFormatPr defaultRowHeight="12.75"/>
  <cols>
    <col min="1" max="1" width="9.140625" customWidth="1"/>
    <col min="2" max="2" width="36.7109375" customWidth="1"/>
    <col min="4" max="4" width="10.85546875" bestFit="1" customWidth="1"/>
    <col min="5" max="5" width="11.28515625" customWidth="1"/>
    <col min="6" max="6" width="13" bestFit="1" customWidth="1"/>
    <col min="7" max="7" width="10.140625" customWidth="1"/>
    <col min="8" max="12" width="10.140625" bestFit="1" customWidth="1"/>
    <col min="13" max="14" width="10.140625" customWidth="1"/>
    <col min="15" max="48" width="9.140625" customWidth="1"/>
  </cols>
  <sheetData>
    <row r="2" spans="1:48">
      <c r="B2" s="480"/>
      <c r="C2" s="481"/>
      <c r="D2" s="481"/>
      <c r="E2" s="481"/>
    </row>
    <row r="3" spans="1:48">
      <c r="B3" s="479" t="s">
        <v>512</v>
      </c>
      <c r="C3" s="457">
        <v>43.87</v>
      </c>
      <c r="D3" s="479" t="s">
        <v>515</v>
      </c>
      <c r="E3" s="458"/>
    </row>
    <row r="4" spans="1:48">
      <c r="B4" s="665" t="s">
        <v>514</v>
      </c>
      <c r="C4" s="666">
        <v>12.9</v>
      </c>
      <c r="D4" s="665" t="s">
        <v>515</v>
      </c>
      <c r="E4" s="667">
        <f>C4/C3</f>
        <v>0.29405060405744249</v>
      </c>
      <c r="F4" s="146"/>
      <c r="G4" s="440"/>
    </row>
    <row r="5" spans="1:48">
      <c r="B5" s="665" t="s">
        <v>513</v>
      </c>
      <c r="C5" s="666">
        <f>C4-7.62</f>
        <v>5.28</v>
      </c>
      <c r="D5" s="665" t="s">
        <v>515</v>
      </c>
      <c r="E5" s="667">
        <f>C5/$C$3</f>
        <v>0.12035559607932529</v>
      </c>
      <c r="G5" s="440"/>
    </row>
    <row r="6" spans="1:48">
      <c r="C6" s="440"/>
      <c r="F6" s="146"/>
    </row>
    <row r="7" spans="1:48">
      <c r="C7" s="440"/>
      <c r="F7" s="440"/>
      <c r="G7" s="440"/>
      <c r="H7" s="440"/>
      <c r="I7" s="440"/>
      <c r="J7" s="440"/>
      <c r="K7" s="440"/>
      <c r="L7" s="440"/>
      <c r="M7" s="440"/>
      <c r="N7" s="440"/>
    </row>
    <row r="8" spans="1:48">
      <c r="C8" s="440"/>
      <c r="F8" s="146"/>
    </row>
    <row r="9" spans="1:48" s="1" customFormat="1">
      <c r="B9" s="1" t="s">
        <v>643</v>
      </c>
      <c r="F9" s="482">
        <f>1-F10</f>
        <v>0.11780821917808215</v>
      </c>
      <c r="G9" s="482">
        <f>1-G10</f>
        <v>1</v>
      </c>
      <c r="H9" s="482">
        <f>1-H10</f>
        <v>1</v>
      </c>
      <c r="I9" s="482">
        <f t="shared" ref="I9" si="0">1-I10</f>
        <v>1</v>
      </c>
      <c r="J9" s="482">
        <f>1-J10</f>
        <v>1</v>
      </c>
      <c r="K9" s="482">
        <v>1</v>
      </c>
      <c r="L9" s="482">
        <v>1</v>
      </c>
      <c r="M9" s="482">
        <v>1</v>
      </c>
      <c r="N9" s="482"/>
    </row>
    <row r="10" spans="1:48">
      <c r="B10" s="1" t="s">
        <v>518</v>
      </c>
      <c r="C10" s="482">
        <v>0</v>
      </c>
      <c r="D10" s="482">
        <f>C10</f>
        <v>0</v>
      </c>
      <c r="E10" s="482">
        <f>G52</f>
        <v>0.83561643835616439</v>
      </c>
      <c r="F10" s="482">
        <f>QDB!Z89</f>
        <v>0.88219178082191785</v>
      </c>
      <c r="G10" s="1"/>
      <c r="H10" s="1"/>
      <c r="I10" s="1"/>
      <c r="J10" s="1"/>
    </row>
    <row r="11" spans="1:48">
      <c r="B11" s="600" t="s">
        <v>608</v>
      </c>
      <c r="C11" s="600">
        <v>1</v>
      </c>
      <c r="D11" s="600">
        <v>2</v>
      </c>
      <c r="E11" s="600">
        <v>3</v>
      </c>
      <c r="F11" s="600">
        <v>4</v>
      </c>
      <c r="G11" s="600">
        <v>5</v>
      </c>
      <c r="H11" s="600">
        <v>6</v>
      </c>
      <c r="I11" s="600">
        <v>7</v>
      </c>
      <c r="J11" s="600">
        <v>8</v>
      </c>
      <c r="K11" s="600">
        <v>9</v>
      </c>
      <c r="L11" s="600">
        <v>10</v>
      </c>
      <c r="M11" s="600">
        <v>11</v>
      </c>
      <c r="N11" s="600">
        <v>12</v>
      </c>
      <c r="O11" s="600">
        <v>13</v>
      </c>
      <c r="P11" s="600">
        <v>14</v>
      </c>
      <c r="Q11" s="600">
        <v>15</v>
      </c>
      <c r="R11" s="600">
        <v>16</v>
      </c>
      <c r="S11" s="600">
        <v>17</v>
      </c>
      <c r="T11" s="600">
        <v>18</v>
      </c>
      <c r="U11" s="600">
        <v>19</v>
      </c>
      <c r="V11" s="600">
        <v>20</v>
      </c>
      <c r="W11" s="600">
        <v>21</v>
      </c>
      <c r="X11" s="600">
        <v>22</v>
      </c>
      <c r="Y11" s="600">
        <v>23</v>
      </c>
      <c r="Z11" s="600">
        <v>24</v>
      </c>
      <c r="AA11" s="600">
        <v>25</v>
      </c>
      <c r="AB11" s="600">
        <v>26</v>
      </c>
      <c r="AC11" s="600">
        <v>27</v>
      </c>
      <c r="AD11" s="600">
        <v>28</v>
      </c>
      <c r="AE11" s="600">
        <v>29</v>
      </c>
      <c r="AF11" s="600">
        <v>30</v>
      </c>
      <c r="AG11" s="600">
        <v>31</v>
      </c>
      <c r="AH11" s="600">
        <v>32</v>
      </c>
      <c r="AI11" s="600">
        <v>33</v>
      </c>
      <c r="AJ11" s="600">
        <v>34</v>
      </c>
      <c r="AK11" s="600">
        <v>35</v>
      </c>
      <c r="AL11" s="600">
        <v>36</v>
      </c>
      <c r="AM11" s="600">
        <v>37</v>
      </c>
      <c r="AN11" s="600">
        <v>38</v>
      </c>
      <c r="AO11" s="600">
        <v>39</v>
      </c>
      <c r="AP11" s="600">
        <v>40</v>
      </c>
      <c r="AQ11" s="600">
        <v>41</v>
      </c>
      <c r="AR11" s="600">
        <v>42</v>
      </c>
      <c r="AS11" s="600">
        <v>43</v>
      </c>
      <c r="AT11" s="600">
        <v>44</v>
      </c>
      <c r="AU11" s="600">
        <v>45</v>
      </c>
      <c r="AV11" s="600">
        <v>46</v>
      </c>
    </row>
    <row r="12" spans="1:48" ht="12.75" customHeight="1">
      <c r="B12" s="480" t="s">
        <v>644</v>
      </c>
      <c r="C12" s="481"/>
      <c r="D12" s="481"/>
      <c r="E12" s="481"/>
      <c r="F12" s="481"/>
      <c r="G12" s="481"/>
      <c r="H12" s="481"/>
      <c r="I12" s="481"/>
      <c r="J12" s="481"/>
      <c r="K12" s="481"/>
      <c r="L12" s="481"/>
      <c r="M12" s="481"/>
      <c r="N12" s="481"/>
      <c r="O12" s="481"/>
      <c r="P12" s="481"/>
      <c r="Q12" s="481"/>
      <c r="R12" s="481"/>
      <c r="S12" s="481"/>
      <c r="T12" s="481"/>
      <c r="U12" s="481"/>
      <c r="V12" s="481"/>
      <c r="W12" s="481"/>
      <c r="X12" s="481"/>
      <c r="Y12" s="481"/>
      <c r="Z12" s="481"/>
      <c r="AA12" s="481"/>
      <c r="AB12" s="481"/>
      <c r="AC12" s="481"/>
      <c r="AD12" s="481"/>
      <c r="AE12" s="481"/>
      <c r="AF12" s="481"/>
      <c r="AG12" s="481"/>
      <c r="AH12" s="481"/>
      <c r="AI12" s="481"/>
      <c r="AJ12" s="481"/>
      <c r="AK12" s="481"/>
      <c r="AL12" s="481"/>
      <c r="AM12" s="481"/>
      <c r="AN12" s="481"/>
      <c r="AO12" s="481"/>
      <c r="AP12" s="481"/>
      <c r="AQ12" s="481"/>
      <c r="AR12" s="481"/>
      <c r="AS12" s="481"/>
      <c r="AT12" s="481"/>
      <c r="AU12" s="481"/>
      <c r="AV12" s="481"/>
    </row>
    <row r="13" spans="1:48" ht="12.75" customHeight="1">
      <c r="A13" s="938"/>
      <c r="B13" s="674" t="s">
        <v>519</v>
      </c>
      <c r="C13" s="675">
        <f>SUM(C14:C17)</f>
        <v>0</v>
      </c>
      <c r="D13" s="675">
        <f t="shared" ref="D13:K13" si="1">SUM(D14:D17)</f>
        <v>0</v>
      </c>
      <c r="E13" s="675">
        <f>SUM(E14:E17)</f>
        <v>-113.60509139136489</v>
      </c>
      <c r="F13" s="675">
        <f>SUM(F14:F17)</f>
        <v>-199.40002258929093</v>
      </c>
      <c r="G13" s="675">
        <f>SUM(G14:G17)</f>
        <v>-228.82077559625048</v>
      </c>
      <c r="H13" s="675">
        <f t="shared" si="1"/>
        <v>-230.71731739776669</v>
      </c>
      <c r="I13" s="675">
        <f t="shared" si="1"/>
        <v>-232.72097565763499</v>
      </c>
      <c r="J13" s="675">
        <f t="shared" si="1"/>
        <v>-234.57173236929353</v>
      </c>
      <c r="K13" s="675">
        <f t="shared" si="1"/>
        <v>-236.43920265646355</v>
      </c>
      <c r="L13" s="675">
        <f t="shared" ref="L13:M13" si="2">SUM(L14:L17)</f>
        <v>-238.31250512878964</v>
      </c>
      <c r="M13" s="675">
        <f t="shared" si="2"/>
        <v>-241.27927057214501</v>
      </c>
    </row>
    <row r="14" spans="1:48">
      <c r="A14" s="939"/>
      <c r="B14" s="674" t="s">
        <v>11</v>
      </c>
      <c r="C14" s="675">
        <f>-IF('Painel de Controle'!$H$49="Aditivo 3",C21*$E$4*C$10+C21*C$9*$E$5,0)</f>
        <v>0</v>
      </c>
      <c r="D14" s="675">
        <f>-IF('Painel de Controle'!$H$49="Aditivo 3",D21*$E$4*D$10+D21*D$9*$E$5,0)</f>
        <v>0</v>
      </c>
      <c r="E14" s="675">
        <f>-IF('Painel de Controle'!$H$49="Aditivo 3",E21*$E$4*E$10+E21*E$9*$E$5,IF('Painel de Controle'!$H$49="Pleito 6",E21*$E$4*E$10+E21*E$9*$E$5,0))</f>
        <v>-29.97920958321582</v>
      </c>
      <c r="F14" s="675">
        <f>-IF('Painel de Controle'!$H$49="Aditivo 3",F21*$E$4*F$10+F21*F$9*$E$5,IF('Painel de Controle'!$H$49="Pleito 6",F21*$E$4*F$10+F21*F$9*$E$5,0))</f>
        <v>-52.61960529135844</v>
      </c>
      <c r="G14" s="675">
        <f>-IF('Painel de Controle'!$H$49="Aditivo 3",G21*$E$4*G$10+G21*G$9*$E$5,IF('Painel de Controle'!$H$49="Pleito 6",G21*$E$4*G$10+G21*G$9*$E$5,0))</f>
        <v>-23.292723881139349</v>
      </c>
      <c r="H14" s="675">
        <f>-IF('Painel de Controle'!$H$49="Aditivo 3",H21*$E$4*H$10+H21*H$9*$E$5,IF('Painel de Controle'!$H$49="Pleito 6",H21*$E$4*H$10+H21*H$9*$E$5,0))</f>
        <v>-23.500130313623167</v>
      </c>
      <c r="I14" s="675">
        <f>-IF('Painel de Controle'!$H$49="Aditivo 3",I21*$E$4*I$10+I21*I$9*$E$5,IF('Painel de Controle'!$H$49="Pleito 6",I21*$E$4*I$10+I21*I$9*$E$5,0))</f>
        <v>-23.689743263991755</v>
      </c>
      <c r="J14" s="675">
        <f>-IF('Painel de Controle'!$H$49="Aditivo 3",J21*$E$4*J$10+J21*J$9*$E$5,IF('Painel de Controle'!$H$49="Pleito 6",J21*$E$4*J$10+J21*J$9*$E$5,0))</f>
        <v>-23.878140340015538</v>
      </c>
      <c r="K14" s="675">
        <f>-IF('Painel de Controle'!$H$49="Aditivo 3",K21*$E$4*K$10+K21*K$9*$E$5,IF('Painel de Controle'!$H$49="Pleito 6",K21*$E$4*K$10+K21*K$9*$E$5,0))</f>
        <v>-24.068238768105985</v>
      </c>
      <c r="L14" s="675">
        <f>-IF('Painel de Controle'!$H$49="Pleito 6",L21*$E$4*L$10+L21*L$9*$E$5,0)</f>
        <v>-24.258873945748807</v>
      </c>
      <c r="M14" s="675">
        <f>-IF('Painel de Controle'!$H$49="Pleito 6",M21*$E$4*M$10+M21*M$9*$E$5,0)</f>
        <v>-24.575409163437431</v>
      </c>
    </row>
    <row r="15" spans="1:48">
      <c r="A15" s="939"/>
      <c r="B15" s="674" t="s">
        <v>355</v>
      </c>
      <c r="C15" s="675">
        <f>-IF('Painel de Controle'!$H$49="Aditivo 3",C22*$E$4*C$10+C22*C$9*$E$5,0)</f>
        <v>0</v>
      </c>
      <c r="D15" s="675">
        <f>-IF('Painel de Controle'!$H$49="Aditivo 3",D22*$E$4*D$10+D22*D$9*$E$5,0)</f>
        <v>0</v>
      </c>
      <c r="E15" s="675">
        <f>-IF('Painel de Controle'!$H$49="Aditivo 3",E22*$E$4*E$10+E22*E$9*$E$5,IF('Painel de Controle'!$H$49="Pleito 6",E22*$E$4*E$10+E22*E$9*$E$5,0))</f>
        <v>-65.6333043740932</v>
      </c>
      <c r="F15" s="675">
        <f>-IF('Painel de Controle'!$H$49="Aditivo 3",F22*$E$4*F$10+F22*F$9*$E$5,IF('Painel de Controle'!$H$49="Pleito 6",F22*$E$4*F$10+F22*F$9*$E$5,0))</f>
        <v>-115.19978739085592</v>
      </c>
      <c r="G15" s="675">
        <f>-IF('Painel de Controle'!$H$49="Aditivo 3",G22*$E$4*G$10+G22*G$9*$E$5,IF('Painel de Controle'!$H$49="Pleito 6",G22*$E$4*G$10+G22*G$9*$E$5,0))</f>
        <v>-191.54849241691946</v>
      </c>
      <c r="H15" s="675">
        <f>-IF('Painel de Controle'!$H$49="Aditivo 3",H22*$E$4*H$10+H22*H$9*$E$5,IF('Painel de Controle'!$H$49="Pleito 6",H22*$E$4*H$10+H22*H$9*$E$5,0))</f>
        <v>-193.25410613829342</v>
      </c>
      <c r="I15" s="675">
        <f>-IF('Painel de Controle'!$H$49="Aditivo 3",I22*$E$4*I$10+I22*I$9*$E$5,IF('Painel de Controle'!$H$49="Pleito 6",I22*$E$4*I$10+I22*I$9*$E$5,0))</f>
        <v>-194.8133945654935</v>
      </c>
      <c r="J15" s="675">
        <f>-IF('Painel de Controle'!$H$49="Aditivo 3",J22*$E$4*J$10+J22*J$9*$E$5,IF('Painel de Controle'!$H$49="Pleito 6",J22*$E$4*J$10+J22*J$9*$E$5,0))</f>
        <v>-196.36268420942955</v>
      </c>
      <c r="K15" s="675">
        <f>-IF('Painel de Controle'!$H$49="Aditivo 3",K22*$E$4*K$10+K22*K$9*$E$5,IF('Painel de Controle'!$H$49="Pleito 6",K22*$E$4*K$10+K22*K$9*$E$5,0))</f>
        <v>-197.92596497888198</v>
      </c>
      <c r="L15" s="675">
        <f>-IF('Painel de Controle'!$H$49="Pleito 6",L22*$E$4*L$10+L22*L$9*$E$5,0)</f>
        <v>-199.49421472532484</v>
      </c>
      <c r="M15" s="675">
        <f>-IF('Painel de Controle'!$H$49="Pleito 6",M22*$E$4*M$10+M22*M$9*$E$5,0)</f>
        <v>-202.10111693640303</v>
      </c>
    </row>
    <row r="16" spans="1:48">
      <c r="A16" s="939"/>
      <c r="B16" s="674" t="s">
        <v>185</v>
      </c>
      <c r="C16" s="675">
        <f>-IF('Painel de Controle'!$H$49="Aditivo 3",C23*$E$4*C$10+C23*C$9*$E$5,0)</f>
        <v>0</v>
      </c>
      <c r="D16" s="675">
        <f>-IF('Painel de Controle'!$H$49="Aditivo 3",D23*$E$4*D$10+D23*D$9*$E$5,0)</f>
        <v>0</v>
      </c>
      <c r="E16" s="675">
        <f>-IF('Painel de Controle'!$H$49="Aditivo 3",E23*$E$4*E$10+E23*E$9*$E$5,IF('Painel de Controle'!$H$49="Pleito 6",E23*$E$4*E$10+E23*E$9*$E$5,0))</f>
        <v>-15.949494394138705</v>
      </c>
      <c r="F16" s="675">
        <f>-IF('Painel de Controle'!$H$49="Aditivo 3",F23*$E$4*F$10+F23*F$9*$E$5,IF('Painel de Controle'!$H$49="Pleito 6",F23*$E$4*F$10+F23*F$9*$E$5,0))</f>
        <v>-27.994603970018581</v>
      </c>
      <c r="G16" s="675">
        <f>-IF('Painel de Controle'!$H$49="Aditivo 3",G23*$E$4*G$10+G23*G$9*$E$5,IF('Painel de Controle'!$H$49="Pleito 6",G23*$E$4*G$10+G23*G$9*$E$5,0))</f>
        <v>-12.392160238088634</v>
      </c>
      <c r="H16" s="675">
        <f>-IF('Painel de Controle'!$H$49="Aditivo 3",H23*$E$4*H$10+H23*H$9*$E$5,IF('Painel de Controle'!$H$49="Pleito 6",H23*$E$4*H$10+H23*H$9*$E$5,0))</f>
        <v>-12.438142072218572</v>
      </c>
      <c r="I16" s="675">
        <f>-IF('Painel de Controle'!$H$49="Aditivo 3",I23*$E$4*I$10+I23*I$9*$E$5,IF('Painel de Controle'!$H$49="Pleito 6",I23*$E$4*I$10+I23*I$9*$E$5,0))</f>
        <v>-12.603381898339279</v>
      </c>
      <c r="J16" s="675">
        <f>-IF('Painel de Controle'!$H$49="Aditivo 3",J23*$E$4*J$10+J23*J$9*$E$5,IF('Painel de Controle'!$H$49="Pleito 6",J23*$E$4*J$10+J23*J$9*$E$5,0))</f>
        <v>-12.703612629892513</v>
      </c>
      <c r="K16" s="675">
        <f>-IF('Painel de Controle'!$H$49="Aditivo 3",K23*$E$4*K$10+K23*K$9*$E$5,IF('Painel de Controle'!$H$49="Pleito 6",K23*$E$4*K$10+K23*K$9*$E$5,0))</f>
        <v>-12.804748512236142</v>
      </c>
      <c r="L16" s="675">
        <f>-IF('Painel de Controle'!$H$49="Pleito 6",L23*$E$4*L$10+L23*L$9*$E$5,0)</f>
        <v>-12.905730567586051</v>
      </c>
      <c r="M16" s="675">
        <f>-IF('Painel de Controle'!$H$49="Pleito 6",M23*$E$4*M$10+M23*M$9*$E$5,0)</f>
        <v>-13.008032824253478</v>
      </c>
    </row>
    <row r="17" spans="1:48">
      <c r="A17" s="939"/>
      <c r="B17" s="674" t="s">
        <v>8</v>
      </c>
      <c r="C17" s="675">
        <f>-IF('Painel de Controle'!$H$49="Aditivo 3",C24*$E$4*C$10+C24*C$9*$E$5,0)</f>
        <v>0</v>
      </c>
      <c r="D17" s="675">
        <f>-IF('Painel de Controle'!$H$49="Aditivo 3",D24*$E$4*D$10+D24*D$9*$E$5,0)</f>
        <v>0</v>
      </c>
      <c r="E17" s="675">
        <f>-IF('Painel de Controle'!$H$49="Aditivo 3",E24*$E$4*E$10+E24*E$9*$E$5,IF('Painel de Controle'!$H$49="Pleito 6",E24*$E$4*E$10+E24*E$9*$E$5,0))</f>
        <v>-2.0430830399171622</v>
      </c>
      <c r="F17" s="675">
        <f>-IF('Painel de Controle'!$H$49="Aditivo 3",F24*$E$4*F$10+F24*F$9*$E$5,IF('Painel de Controle'!$H$49="Pleito 6",F24*$E$4*F$10+F24*F$9*$E$5,0))</f>
        <v>-3.586025937058003</v>
      </c>
      <c r="G17" s="675">
        <f>-IF('Painel de Controle'!$H$49="Aditivo 3",G24*$E$4*G$10+G24*G$9*$E$5,IF('Painel de Controle'!$H$49="Pleito 6",G24*$E$4*G$10+G24*G$9*$E$5,0))</f>
        <v>-1.5873990601030541</v>
      </c>
      <c r="H17" s="675">
        <f>-IF('Painel de Controle'!$H$49="Aditivo 3",H24*$E$4*H$10+H24*H$9*$E$5,IF('Painel de Controle'!$H$49="Pleito 6",H24*$E$4*H$10+H24*H$9*$E$5,0))</f>
        <v>-1.5249388736315312</v>
      </c>
      <c r="I17" s="675">
        <f>-IF('Painel de Controle'!$H$49="Aditivo 3",I24*$E$4*I$10+I24*I$9*$E$5,IF('Painel de Controle'!$H$49="Pleito 6",I24*$E$4*I$10+I24*I$9*$E$5,0))</f>
        <v>-1.6144559298104615</v>
      </c>
      <c r="J17" s="675">
        <f>-IF('Painel de Controle'!$H$49="Aditivo 3",J24*$E$4*J$10+J24*J$9*$E$5,IF('Painel de Controle'!$H$49="Pleito 6",J24*$E$4*J$10+J24*J$9*$E$5,0))</f>
        <v>-1.6272951899559214</v>
      </c>
      <c r="K17" s="675">
        <f>-IF('Painel de Controle'!$H$49="Aditivo 3",K24*$E$4*K$10+K24*K$9*$E$5,IF('Painel de Controle'!$H$49="Pleito 6",K24*$E$4*K$10+K24*K$9*$E$5,0))</f>
        <v>-1.6402503972394364</v>
      </c>
      <c r="L17" s="675">
        <f>-IF('Painel de Controle'!$H$49="Pleito 6",L24*$E$4*L$10+L24*L$9*$E$5,0)</f>
        <v>-1.6536858901299296</v>
      </c>
      <c r="M17" s="675">
        <f>-IF('Painel de Controle'!$H$49="Pleito 6",M24*$E$4*M$10+M24*M$9*$E$5,0)</f>
        <v>-1.5947116480510601</v>
      </c>
    </row>
    <row r="18" spans="1:48">
      <c r="A18" s="284"/>
      <c r="C18" s="138"/>
      <c r="D18" s="138"/>
      <c r="E18" s="138"/>
      <c r="F18" s="138"/>
      <c r="G18" s="138"/>
      <c r="H18" s="138"/>
      <c r="I18" s="138"/>
      <c r="J18" s="138"/>
      <c r="K18" s="138"/>
      <c r="L18" s="138"/>
      <c r="M18" s="138"/>
      <c r="N18" s="138"/>
    </row>
    <row r="19" spans="1:48">
      <c r="B19" s="480" t="s">
        <v>645</v>
      </c>
      <c r="C19" s="484"/>
      <c r="D19" s="484"/>
      <c r="E19" s="484"/>
      <c r="F19" s="484"/>
      <c r="G19" s="484"/>
      <c r="H19" s="484"/>
      <c r="I19" s="484"/>
      <c r="J19" s="484"/>
      <c r="K19" s="484"/>
      <c r="L19" s="484"/>
      <c r="M19" s="484"/>
      <c r="N19" s="484"/>
      <c r="O19" s="481"/>
      <c r="P19" s="481"/>
      <c r="Q19" s="481"/>
      <c r="R19" s="481"/>
      <c r="S19" s="481"/>
      <c r="T19" s="481"/>
      <c r="U19" s="481"/>
      <c r="V19" s="481"/>
      <c r="W19" s="481"/>
      <c r="X19" s="481"/>
      <c r="Y19" s="481"/>
      <c r="Z19" s="481"/>
      <c r="AA19" s="481"/>
      <c r="AB19" s="481"/>
      <c r="AC19" s="481"/>
      <c r="AD19" s="481"/>
      <c r="AE19" s="481"/>
      <c r="AF19" s="481"/>
      <c r="AG19" s="481"/>
      <c r="AH19" s="481"/>
      <c r="AI19" s="481"/>
      <c r="AJ19" s="481"/>
      <c r="AK19" s="481"/>
      <c r="AL19" s="481"/>
      <c r="AM19" s="481"/>
      <c r="AN19" s="481"/>
      <c r="AO19" s="481"/>
      <c r="AP19" s="481"/>
      <c r="AQ19" s="481"/>
      <c r="AR19" s="481"/>
      <c r="AS19" s="481"/>
      <c r="AT19" s="481"/>
      <c r="AU19" s="481"/>
      <c r="AV19" s="481"/>
    </row>
    <row r="20" spans="1:48" ht="12.75" customHeight="1">
      <c r="B20" s="672" t="s">
        <v>519</v>
      </c>
      <c r="C20" s="673">
        <f>SUM(C21:C24)</f>
        <v>137.28322875854118</v>
      </c>
      <c r="D20" s="673">
        <f t="shared" ref="D20:M20" si="3">SUM(D21:D24)</f>
        <v>226.34798217704301</v>
      </c>
      <c r="E20" s="673">
        <f>SUM(E21:E24)</f>
        <v>462.34774587845959</v>
      </c>
      <c r="F20" s="673">
        <f>SUM(F21:F24)</f>
        <v>728.83347296686259</v>
      </c>
      <c r="G20" s="673">
        <f>SUM(G21:G24)</f>
        <v>1901.2059517817249</v>
      </c>
      <c r="H20" s="673">
        <f t="shared" si="3"/>
        <v>1916.9637716363679</v>
      </c>
      <c r="I20" s="673">
        <f t="shared" si="3"/>
        <v>1933.6115913069029</v>
      </c>
      <c r="J20" s="673">
        <f t="shared" si="3"/>
        <v>1948.9889960304745</v>
      </c>
      <c r="K20" s="673">
        <f t="shared" si="3"/>
        <v>1964.5052690414877</v>
      </c>
      <c r="L20" s="673">
        <f t="shared" si="3"/>
        <v>1980.07</v>
      </c>
      <c r="M20" s="673">
        <f t="shared" si="3"/>
        <v>2004.72</v>
      </c>
    </row>
    <row r="21" spans="1:48">
      <c r="B21" s="672" t="s">
        <v>11</v>
      </c>
      <c r="C21" s="673">
        <v>53.023939393939401</v>
      </c>
      <c r="D21" s="673">
        <v>67.388360357040781</v>
      </c>
      <c r="E21" s="673">
        <v>122.00879207312808</v>
      </c>
      <c r="F21" s="673">
        <v>192.33162149454017</v>
      </c>
      <c r="G21" s="673">
        <v>193.53253724726954</v>
      </c>
      <c r="H21" s="673">
        <v>195.25581758686519</v>
      </c>
      <c r="I21" s="673">
        <v>196.83125700593146</v>
      </c>
      <c r="J21" s="673">
        <v>198.3965940750912</v>
      </c>
      <c r="K21" s="673">
        <v>199.97606718878967</v>
      </c>
      <c r="L21" s="673">
        <v>201.56</v>
      </c>
      <c r="M21" s="673">
        <v>204.19</v>
      </c>
    </row>
    <row r="22" spans="1:48">
      <c r="B22" s="672" t="s">
        <v>355</v>
      </c>
      <c r="C22" s="673">
        <v>61.948203205386072</v>
      </c>
      <c r="D22" s="673">
        <v>118.51525024601173</v>
      </c>
      <c r="E22" s="673">
        <v>267.11311931767335</v>
      </c>
      <c r="F22" s="673">
        <v>421.07046949567882</v>
      </c>
      <c r="G22" s="673">
        <v>1591.5212807443665</v>
      </c>
      <c r="H22" s="673">
        <v>1605.6927341452522</v>
      </c>
      <c r="I22" s="673">
        <v>1618.6484128007953</v>
      </c>
      <c r="J22" s="673">
        <v>1631.5210144446351</v>
      </c>
      <c r="K22" s="673">
        <v>1644.5098643226424</v>
      </c>
      <c r="L22" s="673">
        <v>1657.54</v>
      </c>
      <c r="M22" s="673">
        <v>1679.2</v>
      </c>
    </row>
    <row r="23" spans="1:48">
      <c r="B23" s="672" t="s">
        <v>185</v>
      </c>
      <c r="C23" s="673">
        <v>19.74276778553687</v>
      </c>
      <c r="D23" s="673">
        <v>35.851855025109309</v>
      </c>
      <c r="E23" s="673">
        <v>64.910935687092561</v>
      </c>
      <c r="F23" s="673">
        <v>102.32398256958048</v>
      </c>
      <c r="G23" s="673">
        <v>102.96289197820991</v>
      </c>
      <c r="H23" s="673">
        <v>103.34494180080088</v>
      </c>
      <c r="I23" s="673">
        <v>104.71787194699699</v>
      </c>
      <c r="J23" s="673">
        <v>105.5506602411713</v>
      </c>
      <c r="K23" s="673">
        <v>106.3909691726893</v>
      </c>
      <c r="L23" s="673">
        <v>107.23</v>
      </c>
      <c r="M23" s="673">
        <v>108.08</v>
      </c>
    </row>
    <row r="24" spans="1:48">
      <c r="B24" s="672" t="s">
        <v>8</v>
      </c>
      <c r="C24" s="673">
        <v>2.5683183736788378</v>
      </c>
      <c r="D24" s="673">
        <v>4.592516548881183</v>
      </c>
      <c r="E24" s="673">
        <v>8.3148988005656506</v>
      </c>
      <c r="F24" s="673">
        <v>13.107399407063056</v>
      </c>
      <c r="G24" s="673">
        <v>13.189241811878972</v>
      </c>
      <c r="H24" s="673">
        <v>12.670278103449862</v>
      </c>
      <c r="I24" s="673">
        <v>13.414049553178966</v>
      </c>
      <c r="J24" s="673">
        <v>13.520727269576945</v>
      </c>
      <c r="K24" s="673">
        <v>13.628368357366302</v>
      </c>
      <c r="L24" s="673">
        <v>13.74</v>
      </c>
      <c r="M24" s="673">
        <v>13.25</v>
      </c>
    </row>
    <row r="26" spans="1:48">
      <c r="B26" s="480" t="s">
        <v>646</v>
      </c>
      <c r="C26" s="484"/>
      <c r="D26" s="484"/>
      <c r="E26" s="484"/>
      <c r="F26" s="484"/>
      <c r="G26" s="484"/>
      <c r="H26" s="484"/>
      <c r="I26" s="484"/>
      <c r="J26" s="484"/>
      <c r="K26" s="484"/>
      <c r="L26" s="484"/>
      <c r="M26" s="484"/>
      <c r="N26" s="484"/>
      <c r="O26" s="481"/>
      <c r="P26" s="481"/>
      <c r="Q26" s="481"/>
      <c r="R26" s="481"/>
      <c r="S26" s="481"/>
      <c r="T26" s="481"/>
      <c r="U26" s="481"/>
      <c r="V26" s="481"/>
      <c r="W26" s="481"/>
      <c r="X26" s="481"/>
      <c r="Y26" s="481"/>
      <c r="Z26" s="481"/>
      <c r="AA26" s="481"/>
      <c r="AB26" s="481"/>
      <c r="AC26" s="481"/>
      <c r="AD26" s="481"/>
      <c r="AE26" s="481"/>
      <c r="AF26" s="481"/>
      <c r="AG26" s="481"/>
      <c r="AH26" s="481"/>
      <c r="AI26" s="481"/>
      <c r="AJ26" s="481"/>
      <c r="AK26" s="481"/>
      <c r="AL26" s="481"/>
      <c r="AM26" s="481"/>
      <c r="AN26" s="481"/>
      <c r="AO26" s="481"/>
      <c r="AP26" s="481"/>
      <c r="AQ26" s="481"/>
      <c r="AR26" s="481"/>
      <c r="AS26" s="481"/>
      <c r="AT26" s="481"/>
      <c r="AU26" s="481"/>
      <c r="AV26" s="481"/>
    </row>
    <row r="27" spans="1:48">
      <c r="B27" s="676" t="s">
        <v>519</v>
      </c>
      <c r="C27" s="677">
        <f t="shared" ref="C27:M27" si="4">C20+C13</f>
        <v>137.28322875854118</v>
      </c>
      <c r="D27" s="677">
        <f t="shared" si="4"/>
        <v>226.34798217704301</v>
      </c>
      <c r="E27" s="677">
        <f t="shared" si="4"/>
        <v>348.74265448709468</v>
      </c>
      <c r="F27" s="677">
        <f t="shared" si="4"/>
        <v>529.43345037757172</v>
      </c>
      <c r="G27" s="677">
        <f t="shared" si="4"/>
        <v>1672.3851761854744</v>
      </c>
      <c r="H27" s="677">
        <f t="shared" si="4"/>
        <v>1686.2464542386012</v>
      </c>
      <c r="I27" s="677">
        <f t="shared" si="4"/>
        <v>1700.8906156492681</v>
      </c>
      <c r="J27" s="677">
        <f t="shared" si="4"/>
        <v>1714.4172636611809</v>
      </c>
      <c r="K27" s="677">
        <f t="shared" si="4"/>
        <v>1728.0660663850242</v>
      </c>
      <c r="L27" s="677">
        <f t="shared" si="4"/>
        <v>1741.7574948712104</v>
      </c>
      <c r="M27" s="677">
        <f t="shared" si="4"/>
        <v>1763.4407294278551</v>
      </c>
    </row>
    <row r="28" spans="1:48">
      <c r="B28" s="676" t="s">
        <v>11</v>
      </c>
      <c r="C28" s="677">
        <f t="shared" ref="C28:K28" si="5">C21+C14</f>
        <v>53.023939393939401</v>
      </c>
      <c r="D28" s="677">
        <f t="shared" si="5"/>
        <v>67.388360357040781</v>
      </c>
      <c r="E28" s="677">
        <f t="shared" si="5"/>
        <v>92.029582489912258</v>
      </c>
      <c r="F28" s="677">
        <f t="shared" si="5"/>
        <v>139.71201620318175</v>
      </c>
      <c r="G28" s="677">
        <f t="shared" si="5"/>
        <v>170.23981336613019</v>
      </c>
      <c r="H28" s="677">
        <f t="shared" si="5"/>
        <v>171.75568727324202</v>
      </c>
      <c r="I28" s="677">
        <f t="shared" si="5"/>
        <v>173.14151374193972</v>
      </c>
      <c r="J28" s="677">
        <f t="shared" si="5"/>
        <v>174.51845373507567</v>
      </c>
      <c r="K28" s="677">
        <f t="shared" si="5"/>
        <v>175.9078284206837</v>
      </c>
      <c r="L28" s="677">
        <f t="shared" ref="L28:M28" si="6">L21+L14</f>
        <v>177.3011260542512</v>
      </c>
      <c r="M28" s="677">
        <f t="shared" si="6"/>
        <v>179.61459083656257</v>
      </c>
    </row>
    <row r="29" spans="1:48">
      <c r="B29" s="676" t="s">
        <v>355</v>
      </c>
      <c r="C29" s="677">
        <f t="shared" ref="C29:K29" si="7">C22+C15</f>
        <v>61.948203205386072</v>
      </c>
      <c r="D29" s="677">
        <f t="shared" si="7"/>
        <v>118.51525024601173</v>
      </c>
      <c r="E29" s="677">
        <f t="shared" si="7"/>
        <v>201.47981494358015</v>
      </c>
      <c r="F29" s="677">
        <f t="shared" si="7"/>
        <v>305.87068210482289</v>
      </c>
      <c r="G29" s="677">
        <f t="shared" si="7"/>
        <v>1399.972788327447</v>
      </c>
      <c r="H29" s="677">
        <f t="shared" si="7"/>
        <v>1412.4386280069589</v>
      </c>
      <c r="I29" s="677">
        <f t="shared" si="7"/>
        <v>1423.8350182353017</v>
      </c>
      <c r="J29" s="677">
        <f t="shared" si="7"/>
        <v>1435.1583302352055</v>
      </c>
      <c r="K29" s="677">
        <f t="shared" si="7"/>
        <v>1446.5838993437605</v>
      </c>
      <c r="L29" s="677">
        <f t="shared" ref="L29:M29" si="8">L22+L15</f>
        <v>1458.0457852746752</v>
      </c>
      <c r="M29" s="677">
        <f t="shared" si="8"/>
        <v>1477.098883063597</v>
      </c>
    </row>
    <row r="30" spans="1:48">
      <c r="B30" s="676" t="s">
        <v>185</v>
      </c>
      <c r="C30" s="677">
        <f t="shared" ref="C30:K30" si="9">C23+C16</f>
        <v>19.74276778553687</v>
      </c>
      <c r="D30" s="677">
        <f t="shared" si="9"/>
        <v>35.851855025109309</v>
      </c>
      <c r="E30" s="677">
        <f t="shared" si="9"/>
        <v>48.961441292953857</v>
      </c>
      <c r="F30" s="677">
        <f t="shared" si="9"/>
        <v>74.329378599561892</v>
      </c>
      <c r="G30" s="677">
        <f t="shared" si="9"/>
        <v>90.570731740121275</v>
      </c>
      <c r="H30" s="677">
        <f t="shared" si="9"/>
        <v>90.906799728582314</v>
      </c>
      <c r="I30" s="677">
        <f t="shared" si="9"/>
        <v>92.114490048657714</v>
      </c>
      <c r="J30" s="677">
        <f t="shared" si="9"/>
        <v>92.847047611278782</v>
      </c>
      <c r="K30" s="677">
        <f t="shared" si="9"/>
        <v>93.586220660453151</v>
      </c>
      <c r="L30" s="677">
        <f t="shared" ref="L30:M30" si="10">L23+L16</f>
        <v>94.324269432413956</v>
      </c>
      <c r="M30" s="677">
        <f t="shared" si="10"/>
        <v>95.071967175746522</v>
      </c>
    </row>
    <row r="31" spans="1:48">
      <c r="B31" s="676" t="s">
        <v>8</v>
      </c>
      <c r="C31" s="677">
        <f t="shared" ref="C31:K31" si="11">C24+C17</f>
        <v>2.5683183736788378</v>
      </c>
      <c r="D31" s="677">
        <f t="shared" si="11"/>
        <v>4.592516548881183</v>
      </c>
      <c r="E31" s="677">
        <f t="shared" si="11"/>
        <v>6.2718157606484883</v>
      </c>
      <c r="F31" s="677">
        <f t="shared" si="11"/>
        <v>9.5213734700050523</v>
      </c>
      <c r="G31" s="677">
        <f t="shared" si="11"/>
        <v>11.601842751775918</v>
      </c>
      <c r="H31" s="677">
        <f t="shared" si="11"/>
        <v>11.14533922981833</v>
      </c>
      <c r="I31" s="677">
        <f t="shared" si="11"/>
        <v>11.799593623368505</v>
      </c>
      <c r="J31" s="677">
        <f t="shared" si="11"/>
        <v>11.893432079621023</v>
      </c>
      <c r="K31" s="677">
        <f t="shared" si="11"/>
        <v>11.988117960126866</v>
      </c>
      <c r="L31" s="677">
        <f t="shared" ref="L31:M31" si="12">L24+L17</f>
        <v>12.08631410987007</v>
      </c>
      <c r="M31" s="677">
        <f t="shared" si="12"/>
        <v>11.65528835194894</v>
      </c>
    </row>
    <row r="33" spans="2:48">
      <c r="B33" s="480" t="s">
        <v>517</v>
      </c>
      <c r="C33" s="481"/>
      <c r="D33" s="481"/>
      <c r="E33" s="481"/>
      <c r="F33" s="481"/>
      <c r="G33" s="481"/>
      <c r="H33" s="481"/>
      <c r="I33" s="481"/>
      <c r="J33" s="481"/>
      <c r="K33" s="481"/>
      <c r="L33" s="481"/>
      <c r="M33" s="481"/>
      <c r="N33" s="481"/>
      <c r="O33" s="481"/>
      <c r="P33" s="481"/>
      <c r="Q33" s="481"/>
      <c r="R33" s="481"/>
      <c r="S33" s="481"/>
      <c r="T33" s="481"/>
      <c r="U33" s="481"/>
      <c r="V33" s="481"/>
      <c r="W33" s="481"/>
      <c r="X33" s="481"/>
      <c r="Y33" s="481"/>
      <c r="Z33" s="481"/>
      <c r="AA33" s="481"/>
      <c r="AB33" s="481"/>
      <c r="AC33" s="481"/>
      <c r="AD33" s="481"/>
      <c r="AE33" s="481"/>
      <c r="AF33" s="481"/>
      <c r="AG33" s="481"/>
      <c r="AH33" s="481"/>
      <c r="AI33" s="481"/>
      <c r="AJ33" s="481"/>
      <c r="AK33" s="481"/>
      <c r="AL33" s="481"/>
      <c r="AM33" s="481"/>
      <c r="AN33" s="481"/>
      <c r="AO33" s="481"/>
      <c r="AP33" s="481"/>
      <c r="AQ33" s="481"/>
      <c r="AR33" s="481"/>
      <c r="AS33" s="481"/>
      <c r="AT33" s="481"/>
      <c r="AU33" s="481"/>
      <c r="AV33" s="481"/>
    </row>
    <row r="34" spans="2:48" ht="12.75" customHeight="1">
      <c r="B34" t="s">
        <v>519</v>
      </c>
      <c r="C34" s="478">
        <f t="shared" ref="C34:K34" si="13">(C20+C13)/C20-1</f>
        <v>0</v>
      </c>
      <c r="D34" s="478">
        <f t="shared" si="13"/>
        <v>0</v>
      </c>
      <c r="E34" s="478">
        <f t="shared" si="13"/>
        <v>-0.24571351845895884</v>
      </c>
      <c r="F34" s="478">
        <f t="shared" si="13"/>
        <v>-0.27358790448741765</v>
      </c>
      <c r="G34" s="478">
        <f t="shared" si="13"/>
        <v>-0.12035559607932533</v>
      </c>
      <c r="H34" s="478">
        <f t="shared" si="13"/>
        <v>-0.12035559607932533</v>
      </c>
      <c r="I34" s="478">
        <f t="shared" si="13"/>
        <v>-0.12035559607932522</v>
      </c>
      <c r="J34" s="478">
        <f t="shared" si="13"/>
        <v>-0.12035559607932533</v>
      </c>
      <c r="K34" s="478">
        <f t="shared" si="13"/>
        <v>-0.12035559607932522</v>
      </c>
      <c r="L34" s="478">
        <f t="shared" ref="L34:M34" si="14">(L20+L13)/L20-1</f>
        <v>-0.12035559607932522</v>
      </c>
      <c r="M34" s="478">
        <f t="shared" si="14"/>
        <v>-0.12035559607932522</v>
      </c>
    </row>
    <row r="35" spans="2:48">
      <c r="B35" t="s">
        <v>11</v>
      </c>
      <c r="C35" s="478">
        <f t="shared" ref="C35:K35" si="15">(C21+C14)/C21-1</f>
        <v>0</v>
      </c>
      <c r="D35" s="478">
        <f t="shared" si="15"/>
        <v>0</v>
      </c>
      <c r="E35" s="478">
        <f t="shared" si="15"/>
        <v>-0.24571351845895884</v>
      </c>
      <c r="F35" s="478">
        <f t="shared" si="15"/>
        <v>-0.27358790448741765</v>
      </c>
      <c r="G35" s="478">
        <f t="shared" si="15"/>
        <v>-0.12035559607932533</v>
      </c>
      <c r="H35" s="478">
        <f t="shared" si="15"/>
        <v>-0.12035559607932533</v>
      </c>
      <c r="I35" s="478">
        <f t="shared" si="15"/>
        <v>-0.12035559607932522</v>
      </c>
      <c r="J35" s="478">
        <f t="shared" si="15"/>
        <v>-0.12035559607932522</v>
      </c>
      <c r="K35" s="478">
        <f t="shared" si="15"/>
        <v>-0.12035559607932522</v>
      </c>
      <c r="L35" s="478">
        <f t="shared" ref="L35:M35" si="16">(L21+L14)/L21-1</f>
        <v>-0.12035559607932522</v>
      </c>
      <c r="M35" s="478">
        <f t="shared" si="16"/>
        <v>-0.12035559607932522</v>
      </c>
    </row>
    <row r="36" spans="2:48">
      <c r="B36" t="s">
        <v>355</v>
      </c>
      <c r="C36" s="478">
        <f t="shared" ref="C36:K36" si="17">(C22+C15)/C22-1</f>
        <v>0</v>
      </c>
      <c r="D36" s="478">
        <f t="shared" si="17"/>
        <v>0</v>
      </c>
      <c r="E36" s="478">
        <f t="shared" si="17"/>
        <v>-0.24571351845895884</v>
      </c>
      <c r="F36" s="478">
        <f t="shared" si="17"/>
        <v>-0.27358790448741777</v>
      </c>
      <c r="G36" s="478">
        <f t="shared" si="17"/>
        <v>-0.12035559607932533</v>
      </c>
      <c r="H36" s="478">
        <f t="shared" si="17"/>
        <v>-0.12035559607932522</v>
      </c>
      <c r="I36" s="478">
        <f t="shared" si="17"/>
        <v>-0.12035559607932533</v>
      </c>
      <c r="J36" s="478">
        <f t="shared" si="17"/>
        <v>-0.12035559607932522</v>
      </c>
      <c r="K36" s="478">
        <f t="shared" si="17"/>
        <v>-0.12035559607932522</v>
      </c>
      <c r="L36" s="478">
        <f t="shared" ref="L36:M36" si="18">(L22+L15)/L22-1</f>
        <v>-0.12035559607932522</v>
      </c>
      <c r="M36" s="478">
        <f t="shared" si="18"/>
        <v>-0.12035559607932533</v>
      </c>
    </row>
    <row r="37" spans="2:48">
      <c r="B37" t="s">
        <v>185</v>
      </c>
      <c r="C37" s="478">
        <f t="shared" ref="C37:K37" si="19">(C23+C16)/C23-1</f>
        <v>0</v>
      </c>
      <c r="D37" s="478">
        <f t="shared" si="19"/>
        <v>0</v>
      </c>
      <c r="E37" s="478">
        <f t="shared" si="19"/>
        <v>-0.24571351845895872</v>
      </c>
      <c r="F37" s="478">
        <f t="shared" si="19"/>
        <v>-0.27358790448741777</v>
      </c>
      <c r="G37" s="478">
        <f t="shared" si="19"/>
        <v>-0.12035559607932533</v>
      </c>
      <c r="H37" s="478">
        <f t="shared" si="19"/>
        <v>-0.12035559607932522</v>
      </c>
      <c r="I37" s="478">
        <f t="shared" si="19"/>
        <v>-0.12035559607932533</v>
      </c>
      <c r="J37" s="478">
        <f t="shared" si="19"/>
        <v>-0.12035559607932533</v>
      </c>
      <c r="K37" s="478">
        <f t="shared" si="19"/>
        <v>-0.12035559607932533</v>
      </c>
      <c r="L37" s="478">
        <f t="shared" ref="L37:M37" si="20">(L23+L16)/L23-1</f>
        <v>-0.12035559607932522</v>
      </c>
      <c r="M37" s="478">
        <f t="shared" si="20"/>
        <v>-0.12035559607932533</v>
      </c>
    </row>
    <row r="38" spans="2:48">
      <c r="B38" t="s">
        <v>8</v>
      </c>
      <c r="C38" s="478">
        <f t="shared" ref="C38:K38" si="21">(C24+C17)/C24-1</f>
        <v>0</v>
      </c>
      <c r="D38" s="478">
        <f t="shared" si="21"/>
        <v>0</v>
      </c>
      <c r="E38" s="478">
        <f t="shared" si="21"/>
        <v>-0.24571351845895884</v>
      </c>
      <c r="F38" s="478">
        <f t="shared" si="21"/>
        <v>-0.27358790448741777</v>
      </c>
      <c r="G38" s="478">
        <f t="shared" si="21"/>
        <v>-0.12035559607932533</v>
      </c>
      <c r="H38" s="478">
        <f t="shared" si="21"/>
        <v>-0.12035559607932533</v>
      </c>
      <c r="I38" s="478">
        <f t="shared" si="21"/>
        <v>-0.12035559607932522</v>
      </c>
      <c r="J38" s="478">
        <f t="shared" si="21"/>
        <v>-0.12035559607932533</v>
      </c>
      <c r="K38" s="478">
        <f t="shared" si="21"/>
        <v>-0.12035559607932522</v>
      </c>
      <c r="L38" s="478">
        <f t="shared" ref="L38:M38" si="22">(L24+L17)/L24-1</f>
        <v>-0.12035559607932533</v>
      </c>
      <c r="M38" s="478">
        <f t="shared" si="22"/>
        <v>-0.12035559607932533</v>
      </c>
    </row>
    <row r="39" spans="2:48">
      <c r="C39" s="478"/>
      <c r="D39" s="478"/>
      <c r="E39" s="478"/>
      <c r="F39" s="485"/>
      <c r="G39" s="478"/>
      <c r="H39" s="478"/>
      <c r="I39" s="478"/>
      <c r="J39" s="478"/>
      <c r="K39" s="478"/>
      <c r="L39" s="478"/>
      <c r="M39" s="478"/>
      <c r="N39" s="478"/>
    </row>
    <row r="40" spans="2:48">
      <c r="N40" s="478"/>
    </row>
    <row r="41" spans="2:48">
      <c r="B41" s="480" t="s">
        <v>349</v>
      </c>
      <c r="C41" s="481"/>
      <c r="D41" s="481"/>
      <c r="E41" s="481"/>
      <c r="F41" s="481"/>
      <c r="G41" s="481"/>
      <c r="H41" s="481"/>
      <c r="I41" s="481"/>
      <c r="J41" s="481"/>
      <c r="K41" s="481"/>
      <c r="L41" s="481"/>
      <c r="M41" s="481"/>
      <c r="N41" s="478"/>
    </row>
    <row r="42" spans="2:48">
      <c r="B42" t="s">
        <v>519</v>
      </c>
      <c r="C42" s="138">
        <f>SUM(C43:C46)</f>
        <v>0</v>
      </c>
      <c r="D42" s="138">
        <f t="shared" ref="D42" si="23">SUM(D43:D46)</f>
        <v>0</v>
      </c>
      <c r="E42" s="138">
        <f>SUM(E43:E46)</f>
        <v>113.60509139136489</v>
      </c>
      <c r="F42" s="138">
        <f>SUM(F43:F46)</f>
        <v>199.40002258929096</v>
      </c>
      <c r="G42" s="138">
        <f>SUM(G43:G46)</f>
        <v>228.8207755962506</v>
      </c>
      <c r="H42" s="138">
        <f t="shared" ref="H42:J42" si="24">SUM(H43:H46)</f>
        <v>230.71731739776658</v>
      </c>
      <c r="I42" s="138">
        <f t="shared" si="24"/>
        <v>232.72097565763505</v>
      </c>
      <c r="J42" s="138">
        <f t="shared" si="24"/>
        <v>234.5717323692935</v>
      </c>
      <c r="K42" s="138">
        <f>SUM(K43:K46)</f>
        <v>236.43920265646344</v>
      </c>
      <c r="L42" s="138">
        <f>SUM(L43:L46)</f>
        <v>238.31250512878958</v>
      </c>
      <c r="M42" s="138">
        <f t="shared" ref="M42" si="25">SUM(M43:M46)</f>
        <v>241.27927057214501</v>
      </c>
      <c r="N42" s="478"/>
    </row>
    <row r="43" spans="2:48">
      <c r="B43" t="s">
        <v>11</v>
      </c>
      <c r="C43" s="138">
        <f>IF('Painel de Controle'!$H$49="sim",'Conserva de Rotina V CRA'!C14,'Conserva de Rotina V CRA'!C21)-QDD!D13</f>
        <v>0</v>
      </c>
      <c r="D43" s="138">
        <f>IF('Painel de Controle'!$H$49="sim",'Conserva de Rotina V CRA'!D14,'Conserva de Rotina V CRA'!D21)-QDD!E13</f>
        <v>0</v>
      </c>
      <c r="E43" s="138">
        <f>IF('Painel de Controle'!$H$49="sim",'Conserva de Rotina V CRA'!E14,'Conserva de Rotina V CRA'!E21)-QDD!F13</f>
        <v>29.97920958321582</v>
      </c>
      <c r="F43" s="138">
        <f>IF('Painel de Controle'!$H$49="sim",'Conserva de Rotina V CRA'!F14,'Conserva de Rotina V CRA'!F21)-QDD!G13</f>
        <v>52.619605291358425</v>
      </c>
      <c r="G43" s="138">
        <f>IF('Painel de Controle'!$H$49="sim",'Conserva de Rotina V CRA'!G14,'Conserva de Rotina V CRA'!G21)-QDD!H13</f>
        <v>23.292723881139352</v>
      </c>
      <c r="H43" s="138">
        <f>IF('Painel de Controle'!$H$49="sim",'Conserva de Rotina V CRA'!H14,'Conserva de Rotina V CRA'!H21)-QDD!I13</f>
        <v>23.500130313623174</v>
      </c>
      <c r="I43" s="138">
        <f>IF('Painel de Controle'!$H$49="sim",'Conserva de Rotina V CRA'!I14,'Conserva de Rotina V CRA'!I21)-QDD!J13</f>
        <v>23.689743263991744</v>
      </c>
      <c r="J43" s="138">
        <f>IF('Painel de Controle'!$H$49="sim",'Conserva de Rotina V CRA'!J14,'Conserva de Rotina V CRA'!J21)-QDD!K13</f>
        <v>23.878140340015534</v>
      </c>
      <c r="K43" s="138">
        <f>IF('Painel de Controle'!$H$49="sim",'Conserva de Rotina V CRA'!K14,'Conserva de Rotina V CRA'!K21)-QDD!L13</f>
        <v>24.068238768105971</v>
      </c>
      <c r="L43" s="138">
        <f>IF('Painel de Controle'!$H$49="sim",'Conserva de Rotina V CRA'!L14,'Conserva de Rotina V CRA'!L21)-QDD!M13</f>
        <v>24.258873945748803</v>
      </c>
      <c r="M43" s="138">
        <f>IF('Painel de Controle'!$H$49="sim",'Conserva de Rotina V CRA'!M14,'Conserva de Rotina V CRA'!M21)-QDD!N13</f>
        <v>24.575409163437428</v>
      </c>
      <c r="N43" s="478"/>
    </row>
    <row r="44" spans="2:48">
      <c r="B44" t="s">
        <v>355</v>
      </c>
      <c r="C44" s="138">
        <f>IF('Painel de Controle'!$H$49="sim",'Conserva de Rotina V CRA'!C15,'Conserva de Rotina V CRA'!C22)-QDD!D15</f>
        <v>0</v>
      </c>
      <c r="D44" s="138">
        <f>IF('Painel de Controle'!$H$49="sim",'Conserva de Rotina V CRA'!D15,'Conserva de Rotina V CRA'!D22)-QDD!E15</f>
        <v>0</v>
      </c>
      <c r="E44" s="138">
        <f>IF('Painel de Controle'!$H$49="sim",'Conserva de Rotina V CRA'!E15,'Conserva de Rotina V CRA'!E22)-QDD!F15</f>
        <v>65.6333043740932</v>
      </c>
      <c r="F44" s="138">
        <f>IF('Painel de Controle'!$H$49="sim",'Conserva de Rotina V CRA'!F15,'Conserva de Rotina V CRA'!F22)-QDD!G15</f>
        <v>115.19978739085593</v>
      </c>
      <c r="G44" s="138">
        <f>IF('Painel de Controle'!$H$49="sim",'Conserva de Rotina V CRA'!G15,'Conserva de Rotina V CRA'!G22)-QDD!H15</f>
        <v>191.54849241691954</v>
      </c>
      <c r="H44" s="138">
        <f>IF('Painel de Controle'!$H$49="sim",'Conserva de Rotina V CRA'!H15,'Conserva de Rotina V CRA'!H22)-QDD!I15</f>
        <v>193.25410613829331</v>
      </c>
      <c r="I44" s="138">
        <f>IF('Painel de Controle'!$H$49="sim",'Conserva de Rotina V CRA'!I15,'Conserva de Rotina V CRA'!I22)-QDD!J15</f>
        <v>194.81339456549358</v>
      </c>
      <c r="J44" s="138">
        <f>IF('Painel de Controle'!$H$49="sim",'Conserva de Rotina V CRA'!J15,'Conserva de Rotina V CRA'!J22)-QDD!K15</f>
        <v>196.36268420942952</v>
      </c>
      <c r="K44" s="138">
        <f>IF('Painel de Controle'!$H$49="sim",'Conserva de Rotina V CRA'!K15,'Conserva de Rotina V CRA'!K22)-QDD!L15</f>
        <v>197.92596497888189</v>
      </c>
      <c r="L44" s="138">
        <f>IF('Painel de Controle'!$H$49="sim",'Conserva de Rotina V CRA'!L15,'Conserva de Rotina V CRA'!L22)-QDD!M15</f>
        <v>199.49421472532481</v>
      </c>
      <c r="M44" s="138">
        <f>IF('Painel de Controle'!$H$49="sim",'Conserva de Rotina V CRA'!M15,'Conserva de Rotina V CRA'!M22)-QDD!N15</f>
        <v>202.10111693640306</v>
      </c>
    </row>
    <row r="45" spans="2:48">
      <c r="B45" t="s">
        <v>185</v>
      </c>
      <c r="C45" s="138">
        <f>IF('Painel de Controle'!$H$49="sim",'Conserva de Rotina V CRA'!C16,'Conserva de Rotina V CRA'!C23)-QDD!D18</f>
        <v>0</v>
      </c>
      <c r="D45" s="138">
        <f>IF('Painel de Controle'!$H$49="sim",'Conserva de Rotina V CRA'!D16,'Conserva de Rotina V CRA'!D23)-QDD!E18</f>
        <v>0</v>
      </c>
      <c r="E45" s="138">
        <f>IF('Painel de Controle'!$H$49="sim",'Conserva de Rotina V CRA'!E16,'Conserva de Rotina V CRA'!E23)-QDD!F18</f>
        <v>15.949494394138704</v>
      </c>
      <c r="F45" s="138">
        <f>IF('Painel de Controle'!$H$49="sim",'Conserva de Rotina V CRA'!F16,'Conserva de Rotina V CRA'!F23)-QDD!G18</f>
        <v>27.994603970018588</v>
      </c>
      <c r="G45" s="138">
        <f>IF('Painel de Controle'!$H$49="sim",'Conserva de Rotina V CRA'!G16,'Conserva de Rotina V CRA'!G23)-QDD!H18</f>
        <v>12.392160238088636</v>
      </c>
      <c r="H45" s="138">
        <f>IF('Painel de Controle'!$H$49="sim",'Conserva de Rotina V CRA'!H16,'Conserva de Rotina V CRA'!H23)-QDD!I18</f>
        <v>12.438142072218568</v>
      </c>
      <c r="I45" s="138">
        <f>IF('Painel de Controle'!$H$49="sim",'Conserva de Rotina V CRA'!I16,'Conserva de Rotina V CRA'!I23)-QDD!J18</f>
        <v>12.603381898339279</v>
      </c>
      <c r="J45" s="138">
        <f>IF('Painel de Controle'!$H$49="sim",'Conserva de Rotina V CRA'!J16,'Conserva de Rotina V CRA'!J23)-QDD!K18</f>
        <v>12.703612629892518</v>
      </c>
      <c r="K45" s="138">
        <f>IF('Painel de Controle'!$H$49="sim",'Conserva de Rotina V CRA'!K16,'Conserva de Rotina V CRA'!K23)-QDD!L18</f>
        <v>12.804748512236145</v>
      </c>
      <c r="L45" s="138">
        <f>IF('Painel de Controle'!$H$49="sim",'Conserva de Rotina V CRA'!L16,'Conserva de Rotina V CRA'!L23)-QDD!M18</f>
        <v>12.905730567586048</v>
      </c>
      <c r="M45" s="138">
        <f>IF('Painel de Controle'!$H$49="sim",'Conserva de Rotina V CRA'!M16,'Conserva de Rotina V CRA'!M23)-QDD!N18</f>
        <v>13.008032824253476</v>
      </c>
    </row>
    <row r="46" spans="2:48">
      <c r="B46" t="s">
        <v>8</v>
      </c>
      <c r="C46" s="138">
        <f>IF('Painel de Controle'!$H$49="sim",'Conserva de Rotina V CRA'!C17,'Conserva de Rotina V CRA'!C24)-QDD!D21</f>
        <v>0</v>
      </c>
      <c r="D46" s="138">
        <f>IF('Painel de Controle'!$H$49="sim",'Conserva de Rotina V CRA'!D17,'Conserva de Rotina V CRA'!D24)-QDD!E21</f>
        <v>0</v>
      </c>
      <c r="E46" s="138">
        <f>IF('Painel de Controle'!$H$49="sim",'Conserva de Rotina V CRA'!E17,'Conserva de Rotina V CRA'!E24)-QDD!F21</f>
        <v>2.0430830399171622</v>
      </c>
      <c r="F46" s="138">
        <f>IF('Painel de Controle'!$H$49="sim",'Conserva de Rotina V CRA'!F17,'Conserva de Rotina V CRA'!F24)-QDD!G21</f>
        <v>3.5860259370580039</v>
      </c>
      <c r="G46" s="138">
        <f>IF('Painel de Controle'!$H$49="sim",'Conserva de Rotina V CRA'!G17,'Conserva de Rotina V CRA'!G24)-QDD!H21</f>
        <v>1.5873990601030545</v>
      </c>
      <c r="H46" s="138">
        <f>IF('Painel de Controle'!$H$49="sim",'Conserva de Rotina V CRA'!H17,'Conserva de Rotina V CRA'!H24)-QDD!I21</f>
        <v>1.5249388736315321</v>
      </c>
      <c r="I46" s="138">
        <f>IF('Painel de Controle'!$H$49="sim",'Conserva de Rotina V CRA'!I17,'Conserva de Rotina V CRA'!I24)-QDD!J21</f>
        <v>1.614455929810461</v>
      </c>
      <c r="J46" s="138">
        <f>IF('Painel de Controle'!$H$49="sim",'Conserva de Rotina V CRA'!J17,'Conserva de Rotina V CRA'!J24)-QDD!K21</f>
        <v>1.6272951899559214</v>
      </c>
      <c r="K46" s="138">
        <f>IF('Painel de Controle'!$H$49="sim",'Conserva de Rotina V CRA'!K17,'Conserva de Rotina V CRA'!K24)-QDD!L21</f>
        <v>1.640250397239436</v>
      </c>
      <c r="L46" s="138">
        <f>IF('Painel de Controle'!$H$49="sim",'Conserva de Rotina V CRA'!L17,'Conserva de Rotina V CRA'!L24)-QDD!M21</f>
        <v>1.6536858901299301</v>
      </c>
      <c r="M46" s="138">
        <f>IF('Painel de Controle'!$H$49="sim",'Conserva de Rotina V CRA'!M17,'Conserva de Rotina V CRA'!M24)-QDD!N21</f>
        <v>1.5947116480510601</v>
      </c>
    </row>
    <row r="50" spans="4:7">
      <c r="D50" s="455">
        <v>41582</v>
      </c>
      <c r="E50" s="455">
        <v>41642</v>
      </c>
      <c r="F50" s="455">
        <v>41946</v>
      </c>
    </row>
    <row r="51" spans="4:7">
      <c r="F51">
        <f>F50-D50+1</f>
        <v>365</v>
      </c>
    </row>
    <row r="52" spans="4:7">
      <c r="F52">
        <f>F50-E50+1</f>
        <v>305</v>
      </c>
      <c r="G52" s="486">
        <f>F52/F51</f>
        <v>0.83561643835616439</v>
      </c>
    </row>
  </sheetData>
  <mergeCells count="1">
    <mergeCell ref="A13:A17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Planilha25">
    <tabColor rgb="FF00B050"/>
  </sheetPr>
  <dimension ref="B1:LC359"/>
  <sheetViews>
    <sheetView showGridLines="0" topLeftCell="A11" zoomScale="80" zoomScaleNormal="80" workbookViewId="0">
      <selection activeCell="A25" sqref="A25"/>
    </sheetView>
  </sheetViews>
  <sheetFormatPr defaultColWidth="8.85546875" defaultRowHeight="12.75"/>
  <cols>
    <col min="1" max="2" width="8.85546875" style="131"/>
    <col min="3" max="7" width="12.7109375" style="131" customWidth="1"/>
    <col min="8" max="8" width="8.85546875" style="131"/>
    <col min="9" max="9" width="12.85546875" style="131" customWidth="1"/>
    <col min="10" max="11" width="11.28515625" style="131" bestFit="1" customWidth="1"/>
    <col min="12" max="12" width="12.7109375" style="131" customWidth="1"/>
    <col min="13" max="13" width="11.28515625" style="131" bestFit="1" customWidth="1"/>
    <col min="14" max="16" width="12.7109375" style="131" customWidth="1"/>
    <col min="17" max="17" width="12.5703125" style="131" customWidth="1"/>
    <col min="18" max="18" width="12.85546875" style="131" customWidth="1"/>
    <col min="19" max="19" width="12" style="131" bestFit="1" customWidth="1"/>
    <col min="20" max="20" width="8.85546875" style="131"/>
    <col min="21" max="21" width="12.7109375" style="131" customWidth="1"/>
    <col min="22" max="22" width="11.28515625" style="131" bestFit="1" customWidth="1"/>
    <col min="23" max="25" width="12.7109375" style="131" customWidth="1"/>
    <col min="26" max="26" width="8.85546875" style="131"/>
    <col min="27" max="27" width="12.85546875" style="131" customWidth="1"/>
    <col min="28" max="28" width="3.28515625" style="131" customWidth="1"/>
    <col min="29" max="29" width="8.85546875" style="131"/>
    <col min="30" max="30" width="12.7109375" style="131" customWidth="1"/>
    <col min="31" max="31" width="11.28515625" style="131" bestFit="1" customWidth="1"/>
    <col min="32" max="34" width="12.7109375" style="131" customWidth="1"/>
    <col min="35" max="35" width="8.85546875" style="131"/>
    <col min="36" max="36" width="12.85546875" style="131" customWidth="1"/>
    <col min="37" max="37" width="3.28515625" style="131" customWidth="1"/>
    <col min="38" max="38" width="8.85546875" style="131"/>
    <col min="39" max="39" width="12.7109375" style="131" customWidth="1"/>
    <col min="40" max="40" width="11.28515625" style="131" bestFit="1" customWidth="1"/>
    <col min="41" max="43" width="12.7109375" style="131" customWidth="1"/>
    <col min="44" max="44" width="8.85546875" style="131"/>
    <col min="45" max="45" width="12.85546875" style="131" customWidth="1"/>
    <col min="46" max="46" width="3.28515625" style="131" customWidth="1"/>
    <col min="47" max="47" width="8.85546875" style="131"/>
    <col min="48" max="48" width="12.7109375" style="131" customWidth="1"/>
    <col min="49" max="49" width="12.28515625" style="131" bestFit="1" customWidth="1"/>
    <col min="50" max="52" width="12.7109375" style="131" customWidth="1"/>
    <col min="53" max="53" width="8.85546875" style="131"/>
    <col min="54" max="54" width="12.85546875" style="131" customWidth="1"/>
    <col min="55" max="55" width="3.28515625" style="131" customWidth="1"/>
    <col min="56" max="56" width="8.85546875" style="131"/>
    <col min="57" max="57" width="13.5703125" style="131" customWidth="1"/>
    <col min="58" max="58" width="12.28515625" style="131" bestFit="1" customWidth="1"/>
    <col min="59" max="59" width="14" style="131" customWidth="1"/>
    <col min="60" max="61" width="12.7109375" style="131" customWidth="1"/>
    <col min="62" max="62" width="8.85546875" style="131"/>
    <col min="63" max="63" width="12.85546875" style="131" customWidth="1"/>
    <col min="64" max="64" width="3.28515625" style="131" customWidth="1"/>
    <col min="65" max="65" width="8.85546875" style="131"/>
    <col min="66" max="67" width="15" style="131" customWidth="1"/>
    <col min="68" max="68" width="13.5703125" style="131" customWidth="1"/>
    <col min="69" max="70" width="12.7109375" style="131" customWidth="1"/>
    <col min="71" max="71" width="8.85546875" style="131"/>
    <col min="72" max="72" width="12.85546875" style="131" customWidth="1"/>
    <col min="73" max="73" width="3.28515625" style="131" customWidth="1"/>
    <col min="74" max="74" width="8.85546875" style="131"/>
    <col min="75" max="75" width="13.85546875" style="131" bestFit="1" customWidth="1"/>
    <col min="76" max="76" width="12.28515625" style="131" bestFit="1" customWidth="1"/>
    <col min="77" max="77" width="13.85546875" style="131" bestFit="1" customWidth="1"/>
    <col min="78" max="79" width="12.7109375" style="131" customWidth="1"/>
    <col min="80" max="80" width="8.85546875" style="131"/>
    <col min="81" max="81" width="12.85546875" style="131" customWidth="1"/>
    <col min="82" max="82" width="3.28515625" style="131" customWidth="1"/>
    <col min="83" max="83" width="8.85546875" style="131"/>
    <col min="84" max="84" width="13.85546875" style="131" bestFit="1" customWidth="1"/>
    <col min="85" max="85" width="12.28515625" style="131" bestFit="1" customWidth="1"/>
    <col min="86" max="86" width="13.85546875" style="131" bestFit="1" customWidth="1"/>
    <col min="87" max="88" width="12.7109375" style="131" customWidth="1"/>
    <col min="89" max="89" width="8.85546875" style="131"/>
    <col min="90" max="90" width="12.85546875" style="131" customWidth="1"/>
    <col min="91" max="91" width="3.28515625" style="131" customWidth="1"/>
    <col min="92" max="92" width="8.85546875" style="131"/>
    <col min="93" max="93" width="13.85546875" style="131" bestFit="1" customWidth="1"/>
    <col min="94" max="94" width="12.5703125" style="131" customWidth="1"/>
    <col min="95" max="95" width="13.85546875" style="131" bestFit="1" customWidth="1"/>
    <col min="96" max="97" width="12.7109375" style="131" customWidth="1"/>
    <col min="98" max="98" width="8.85546875" style="131"/>
    <col min="99" max="99" width="12.85546875" style="131" customWidth="1"/>
    <col min="100" max="100" width="3.28515625" style="131" customWidth="1"/>
    <col min="101" max="101" width="8.85546875" style="131"/>
    <col min="102" max="102" width="13.85546875" style="131" bestFit="1" customWidth="1"/>
    <col min="103" max="103" width="12.28515625" style="131" bestFit="1" customWidth="1"/>
    <col min="104" max="104" width="13.85546875" style="131" bestFit="1" customWidth="1"/>
    <col min="105" max="106" width="12.7109375" style="131" customWidth="1"/>
    <col min="107" max="107" width="8.85546875" style="131"/>
    <col min="108" max="108" width="12.85546875" style="131" customWidth="1"/>
    <col min="109" max="109" width="3.28515625" style="131" customWidth="1"/>
    <col min="110" max="110" width="8.85546875" style="131"/>
    <col min="111" max="111" width="13.5703125" style="131" bestFit="1" customWidth="1"/>
    <col min="112" max="112" width="12" style="131" bestFit="1" customWidth="1"/>
    <col min="113" max="113" width="13.5703125" style="131" bestFit="1" customWidth="1"/>
    <col min="114" max="115" width="12.7109375" style="131" customWidth="1"/>
    <col min="116" max="116" width="8.85546875" style="131"/>
    <col min="117" max="117" width="12.85546875" style="131" customWidth="1"/>
    <col min="118" max="118" width="3.28515625" style="131" customWidth="1"/>
    <col min="119" max="119" width="8.85546875" style="131"/>
    <col min="120" max="120" width="12.7109375" style="131" customWidth="1"/>
    <col min="121" max="121" width="8.85546875" style="131"/>
    <col min="122" max="124" width="12.7109375" style="131" customWidth="1"/>
    <col min="125" max="125" width="8.85546875" style="131"/>
    <col min="126" max="126" width="12.85546875" style="131" customWidth="1"/>
    <col min="127" max="127" width="3.28515625" style="131" customWidth="1"/>
    <col min="128" max="128" width="8.85546875" style="131"/>
    <col min="129" max="129" width="12.7109375" style="131" customWidth="1"/>
    <col min="130" max="130" width="8.85546875" style="131"/>
    <col min="131" max="133" width="12.7109375" style="131" customWidth="1"/>
    <col min="134" max="134" width="8.85546875" style="131"/>
    <col min="135" max="135" width="12.85546875" style="131" customWidth="1"/>
    <col min="136" max="136" width="3.28515625" style="131" customWidth="1"/>
    <col min="137" max="137" width="8.85546875" style="131"/>
    <col min="138" max="138" width="12.7109375" style="131" customWidth="1"/>
    <col min="139" max="139" width="8.85546875" style="131"/>
    <col min="140" max="142" width="12.7109375" style="131" customWidth="1"/>
    <col min="143" max="143" width="8.85546875" style="131"/>
    <col min="144" max="144" width="12.85546875" style="131" customWidth="1"/>
    <col min="145" max="145" width="3.28515625" style="131" customWidth="1"/>
    <col min="146" max="146" width="8.85546875" style="131"/>
    <col min="147" max="147" width="12.7109375" style="131" customWidth="1"/>
    <col min="148" max="148" width="8.85546875" style="131"/>
    <col min="149" max="151" width="12.7109375" style="131" customWidth="1"/>
    <col min="152" max="152" width="8.85546875" style="131"/>
    <col min="153" max="153" width="12.85546875" style="131" customWidth="1"/>
    <col min="154" max="154" width="3.28515625" style="131" customWidth="1"/>
    <col min="155" max="155" width="8.85546875" style="131"/>
    <col min="156" max="156" width="12.7109375" style="131" customWidth="1"/>
    <col min="157" max="157" width="8.85546875" style="131"/>
    <col min="158" max="160" width="12.7109375" style="131" customWidth="1"/>
    <col min="161" max="161" width="8.85546875" style="131"/>
    <col min="162" max="162" width="12.85546875" style="131" customWidth="1"/>
    <col min="163" max="163" width="3.28515625" style="131" customWidth="1"/>
    <col min="164" max="164" width="8.85546875" style="131"/>
    <col min="165" max="165" width="12.7109375" style="131" customWidth="1"/>
    <col min="166" max="166" width="8.85546875" style="131"/>
    <col min="167" max="169" width="12.7109375" style="131" customWidth="1"/>
    <col min="170" max="170" width="8.85546875" style="131"/>
    <col min="171" max="171" width="12.85546875" style="131" customWidth="1"/>
    <col min="172" max="172" width="3.28515625" style="131" customWidth="1"/>
    <col min="173" max="173" width="8.85546875" style="131"/>
    <col min="174" max="174" width="12.7109375" style="131" customWidth="1"/>
    <col min="175" max="175" width="8.85546875" style="131"/>
    <col min="176" max="178" width="12.7109375" style="131" customWidth="1"/>
    <col min="179" max="179" width="8.85546875" style="131"/>
    <col min="180" max="180" width="12.85546875" style="131" customWidth="1"/>
    <col min="181" max="181" width="3.28515625" style="131" customWidth="1"/>
    <col min="182" max="182" width="8.85546875" style="131"/>
    <col min="183" max="183" width="12.7109375" style="131" customWidth="1"/>
    <col min="184" max="184" width="8.85546875" style="131"/>
    <col min="185" max="187" width="12.7109375" style="131" customWidth="1"/>
    <col min="188" max="188" width="8.85546875" style="131"/>
    <col min="189" max="189" width="12.85546875" style="131" customWidth="1"/>
    <col min="190" max="190" width="3.28515625" style="131" customWidth="1"/>
    <col min="191" max="191" width="8.85546875" style="131"/>
    <col min="192" max="192" width="12.7109375" style="131" customWidth="1"/>
    <col min="193" max="193" width="8.85546875" style="131"/>
    <col min="194" max="196" width="12.7109375" style="131" customWidth="1"/>
    <col min="197" max="197" width="8.85546875" style="131"/>
    <col min="198" max="198" width="12.85546875" style="131" customWidth="1"/>
    <col min="199" max="199" width="3.28515625" style="131" customWidth="1"/>
    <col min="200" max="200" width="8.85546875" style="131"/>
    <col min="201" max="201" width="12.7109375" style="131" customWidth="1"/>
    <col min="202" max="202" width="8.85546875" style="131"/>
    <col min="203" max="205" width="12.7109375" style="131" customWidth="1"/>
    <col min="206" max="206" width="8.85546875" style="131"/>
    <col min="207" max="207" width="12.85546875" style="131" customWidth="1"/>
    <col min="208" max="208" width="3.28515625" style="131" customWidth="1"/>
    <col min="209" max="209" width="8.85546875" style="131"/>
    <col min="210" max="210" width="12.7109375" style="131" customWidth="1"/>
    <col min="211" max="211" width="8.85546875" style="131"/>
    <col min="212" max="214" width="12.7109375" style="131" customWidth="1"/>
    <col min="215" max="215" width="8.85546875" style="131"/>
    <col min="216" max="216" width="12.85546875" style="131" customWidth="1"/>
    <col min="217" max="217" width="3.28515625" style="131" customWidth="1"/>
    <col min="218" max="218" width="8.85546875" style="131"/>
    <col min="219" max="219" width="12.7109375" style="131" customWidth="1"/>
    <col min="220" max="220" width="8.85546875" style="131"/>
    <col min="221" max="223" width="12.7109375" style="131" customWidth="1"/>
    <col min="224" max="224" width="8.85546875" style="131"/>
    <col min="225" max="225" width="12.85546875" style="131" customWidth="1"/>
    <col min="226" max="226" width="3.28515625" style="131" customWidth="1"/>
    <col min="227" max="227" width="8.85546875" style="131"/>
    <col min="228" max="228" width="12.7109375" style="131" customWidth="1"/>
    <col min="229" max="229" width="8.85546875" style="131"/>
    <col min="230" max="232" width="12.7109375" style="131" customWidth="1"/>
    <col min="233" max="233" width="8.85546875" style="131"/>
    <col min="234" max="234" width="12.85546875" style="131" customWidth="1"/>
    <col min="235" max="235" width="3.28515625" style="131" customWidth="1"/>
    <col min="236" max="236" width="8.85546875" style="131"/>
    <col min="237" max="237" width="12.7109375" style="131" customWidth="1"/>
    <col min="238" max="238" width="8.85546875" style="131"/>
    <col min="239" max="241" width="12.7109375" style="131" customWidth="1"/>
    <col min="242" max="242" width="8.85546875" style="131"/>
    <col min="243" max="243" width="12.85546875" style="131" customWidth="1"/>
    <col min="244" max="244" width="3.28515625" style="131" customWidth="1"/>
    <col min="245" max="245" width="8.85546875" style="131"/>
    <col min="246" max="246" width="12.7109375" style="131" customWidth="1"/>
    <col min="247" max="247" width="8.85546875" style="131"/>
    <col min="248" max="250" width="12.7109375" style="131" customWidth="1"/>
    <col min="251" max="251" width="8.85546875" style="131"/>
    <col min="252" max="252" width="12.85546875" style="131" customWidth="1"/>
    <col min="253" max="253" width="3.28515625" style="131" customWidth="1"/>
    <col min="254" max="254" width="8.85546875" style="131"/>
    <col min="255" max="255" width="12.7109375" style="131" customWidth="1"/>
    <col min="256" max="256" width="8.85546875" style="131"/>
    <col min="257" max="259" width="12.7109375" style="131" customWidth="1"/>
    <col min="260" max="260" width="8.85546875" style="131"/>
    <col min="261" max="261" width="12.85546875" style="131" customWidth="1"/>
    <col min="262" max="262" width="3.28515625" style="131" customWidth="1"/>
    <col min="263" max="263" width="8.85546875" style="131"/>
    <col min="264" max="264" width="12.7109375" style="131" customWidth="1"/>
    <col min="265" max="265" width="8.85546875" style="131"/>
    <col min="266" max="268" width="12.7109375" style="131" customWidth="1"/>
    <col min="269" max="269" width="8.85546875" style="131"/>
    <col min="270" max="270" width="12.85546875" style="131" customWidth="1"/>
    <col min="271" max="271" width="3.28515625" style="131" customWidth="1"/>
    <col min="272" max="272" width="8.85546875" style="131"/>
    <col min="273" max="273" width="12.7109375" style="131" customWidth="1"/>
    <col min="274" max="274" width="8.85546875" style="131"/>
    <col min="275" max="277" width="12.7109375" style="131" customWidth="1"/>
    <col min="278" max="278" width="8.85546875" style="131"/>
    <col min="279" max="279" width="12.85546875" style="131" customWidth="1"/>
    <col min="280" max="280" width="3.28515625" style="131" customWidth="1"/>
    <col min="281" max="281" width="8.85546875" style="131"/>
    <col min="282" max="282" width="12.7109375" style="131" customWidth="1"/>
    <col min="283" max="283" width="8.85546875" style="131"/>
    <col min="284" max="286" width="12.7109375" style="131" customWidth="1"/>
    <col min="287" max="287" width="8.85546875" style="131"/>
    <col min="288" max="288" width="12.85546875" style="131" customWidth="1"/>
    <col min="289" max="289" width="3.28515625" style="131" customWidth="1"/>
    <col min="290" max="290" width="8.85546875" style="131"/>
    <col min="291" max="291" width="12.7109375" style="131" customWidth="1"/>
    <col min="292" max="292" width="8.85546875" style="131"/>
    <col min="293" max="295" width="12.7109375" style="131" customWidth="1"/>
    <col min="296" max="296" width="8.85546875" style="131"/>
    <col min="297" max="297" width="12.85546875" style="131" customWidth="1"/>
    <col min="298" max="298" width="3.28515625" style="131" customWidth="1"/>
    <col min="299" max="299" width="8.85546875" style="131"/>
    <col min="300" max="300" width="12.7109375" style="131" customWidth="1"/>
    <col min="301" max="301" width="8.85546875" style="131"/>
    <col min="302" max="304" width="12.7109375" style="131" customWidth="1"/>
    <col min="305" max="305" width="8.85546875" style="131"/>
    <col min="306" max="306" width="12.85546875" style="131" customWidth="1"/>
    <col min="307" max="307" width="3.28515625" style="131" customWidth="1"/>
    <col min="308" max="308" width="8.85546875" style="131"/>
    <col min="309" max="309" width="12.7109375" style="131" customWidth="1"/>
    <col min="310" max="310" width="8.85546875" style="131"/>
    <col min="311" max="313" width="12.7109375" style="131" customWidth="1"/>
    <col min="314" max="314" width="8.85546875" style="131"/>
    <col min="315" max="315" width="12.85546875" style="131" customWidth="1"/>
    <col min="316" max="16384" width="8.85546875" style="131"/>
  </cols>
  <sheetData>
    <row r="1" spans="2:315" ht="30.2" customHeight="1">
      <c r="B1" s="125" t="s">
        <v>400</v>
      </c>
      <c r="K1" s="125"/>
      <c r="T1" s="125"/>
      <c r="AC1" s="125"/>
      <c r="AL1" s="125"/>
      <c r="AU1" s="125"/>
      <c r="BD1" s="125"/>
      <c r="BM1" s="125"/>
      <c r="BV1" s="125"/>
      <c r="CE1" s="125"/>
      <c r="CN1" s="125"/>
      <c r="CW1" s="125"/>
      <c r="DF1" s="125"/>
      <c r="DO1" s="125"/>
      <c r="DX1" s="125"/>
      <c r="EG1" s="125"/>
      <c r="EP1" s="125"/>
      <c r="EY1" s="125"/>
      <c r="FH1" s="125"/>
      <c r="FQ1" s="125"/>
      <c r="FZ1" s="125"/>
      <c r="GI1" s="125"/>
      <c r="GR1" s="125"/>
      <c r="HA1" s="125"/>
      <c r="HJ1" s="125"/>
      <c r="HS1" s="125"/>
      <c r="IB1" s="125"/>
      <c r="IK1" s="125"/>
      <c r="IT1" s="125"/>
      <c r="JC1" s="125"/>
      <c r="JL1" s="125"/>
      <c r="JU1" s="125"/>
      <c r="KD1" s="125"/>
      <c r="KM1" s="125"/>
      <c r="KV1" s="125"/>
    </row>
    <row r="2" spans="2:315" ht="15">
      <c r="B2" s="127" t="s">
        <v>579</v>
      </c>
      <c r="K2" s="127"/>
      <c r="T2" s="127"/>
      <c r="AC2" s="127"/>
      <c r="AL2" s="127"/>
      <c r="AU2" s="127"/>
      <c r="BD2" s="127"/>
      <c r="BM2" s="127"/>
      <c r="BV2" s="127"/>
      <c r="CE2" s="127"/>
      <c r="CN2" s="127"/>
      <c r="CW2" s="127"/>
      <c r="DF2" s="127"/>
      <c r="DO2" s="127"/>
      <c r="DX2" s="127"/>
      <c r="EG2" s="127"/>
      <c r="EP2" s="127"/>
      <c r="EY2" s="127"/>
      <c r="FH2" s="127"/>
      <c r="FQ2" s="127"/>
      <c r="FZ2" s="127"/>
      <c r="GI2" s="127"/>
      <c r="GR2" s="127"/>
      <c r="HA2" s="127"/>
      <c r="HJ2" s="127"/>
      <c r="HS2" s="127"/>
      <c r="IB2" s="127"/>
      <c r="IK2" s="127"/>
      <c r="IT2" s="127"/>
      <c r="JC2" s="127"/>
      <c r="JL2" s="127"/>
      <c r="JU2" s="127"/>
      <c r="KD2" s="127"/>
      <c r="KM2" s="127"/>
      <c r="KV2" s="127"/>
    </row>
    <row r="4" spans="2:315">
      <c r="B4" s="577" t="s">
        <v>578</v>
      </c>
    </row>
    <row r="5" spans="2:315">
      <c r="F5" s="591"/>
    </row>
    <row r="6" spans="2:315" ht="19.899999999999999" customHeight="1">
      <c r="B6" s="945">
        <v>2012</v>
      </c>
      <c r="C6" s="945"/>
      <c r="D6" s="945"/>
      <c r="E6" s="945"/>
      <c r="F6" s="945"/>
      <c r="G6" s="945"/>
      <c r="H6" s="945"/>
      <c r="I6" s="945"/>
      <c r="K6" s="945">
        <v>2013</v>
      </c>
      <c r="L6" s="945"/>
      <c r="M6" s="945"/>
      <c r="N6" s="945"/>
      <c r="O6" s="945"/>
      <c r="P6" s="945"/>
      <c r="Q6" s="945"/>
      <c r="R6" s="945"/>
      <c r="T6" s="945">
        <v>2014</v>
      </c>
      <c r="U6" s="945"/>
      <c r="V6" s="945"/>
      <c r="W6" s="945"/>
      <c r="X6" s="945"/>
      <c r="Y6" s="945"/>
      <c r="Z6" s="945"/>
      <c r="AA6" s="945"/>
      <c r="AC6" s="945">
        <v>2015</v>
      </c>
      <c r="AD6" s="945"/>
      <c r="AE6" s="945"/>
      <c r="AF6" s="945"/>
      <c r="AG6" s="945"/>
      <c r="AH6" s="945"/>
      <c r="AI6" s="945"/>
      <c r="AJ6" s="945"/>
      <c r="AL6" s="945">
        <v>2016</v>
      </c>
      <c r="AM6" s="945"/>
      <c r="AN6" s="945"/>
      <c r="AO6" s="945"/>
      <c r="AP6" s="945"/>
      <c r="AQ6" s="945"/>
      <c r="AR6" s="945"/>
      <c r="AS6" s="945"/>
      <c r="AU6" s="945">
        <v>2017</v>
      </c>
      <c r="AV6" s="945"/>
      <c r="AW6" s="945"/>
      <c r="AX6" s="945"/>
      <c r="AY6" s="945"/>
      <c r="AZ6" s="945"/>
      <c r="BA6" s="945"/>
      <c r="BB6" s="945"/>
      <c r="BD6" s="945">
        <v>2018</v>
      </c>
      <c r="BE6" s="945"/>
      <c r="BF6" s="945"/>
      <c r="BG6" s="945"/>
      <c r="BH6" s="945"/>
      <c r="BI6" s="945"/>
      <c r="BJ6" s="945"/>
      <c r="BK6" s="945"/>
      <c r="BM6" s="945">
        <v>2019</v>
      </c>
      <c r="BN6" s="945"/>
      <c r="BO6" s="945"/>
      <c r="BP6" s="945"/>
      <c r="BQ6" s="945"/>
      <c r="BR6" s="945"/>
      <c r="BS6" s="945"/>
      <c r="BT6" s="945"/>
      <c r="BV6" s="945">
        <v>2020</v>
      </c>
      <c r="BW6" s="945"/>
      <c r="BX6" s="945"/>
      <c r="BY6" s="945"/>
      <c r="BZ6" s="945"/>
      <c r="CA6" s="945"/>
      <c r="CB6" s="945"/>
      <c r="CC6" s="945"/>
      <c r="CE6" s="945">
        <v>2021</v>
      </c>
      <c r="CF6" s="945"/>
      <c r="CG6" s="945"/>
      <c r="CH6" s="945"/>
      <c r="CI6" s="945"/>
      <c r="CJ6" s="945"/>
      <c r="CK6" s="945"/>
      <c r="CL6" s="945"/>
      <c r="CN6" s="945">
        <v>2022</v>
      </c>
      <c r="CO6" s="945"/>
      <c r="CP6" s="945"/>
      <c r="CQ6" s="945"/>
      <c r="CR6" s="945"/>
      <c r="CS6" s="945"/>
      <c r="CT6" s="945"/>
      <c r="CU6" s="945"/>
      <c r="CW6" s="945">
        <v>2023</v>
      </c>
      <c r="CX6" s="945"/>
      <c r="CY6" s="945"/>
      <c r="CZ6" s="945"/>
      <c r="DA6" s="945"/>
      <c r="DB6" s="945"/>
      <c r="DC6" s="945"/>
      <c r="DD6" s="945"/>
      <c r="DF6" s="945">
        <v>2024</v>
      </c>
      <c r="DG6" s="945"/>
      <c r="DH6" s="945"/>
      <c r="DI6" s="945"/>
      <c r="DJ6" s="945"/>
      <c r="DK6" s="945"/>
      <c r="DL6" s="945"/>
      <c r="DM6" s="945"/>
      <c r="DO6" s="945">
        <v>2025</v>
      </c>
      <c r="DP6" s="945"/>
      <c r="DQ6" s="945"/>
      <c r="DR6" s="945"/>
      <c r="DS6" s="945"/>
      <c r="DT6" s="945"/>
      <c r="DU6" s="945"/>
      <c r="DV6" s="945"/>
      <c r="DX6" s="945">
        <v>2026</v>
      </c>
      <c r="DY6" s="945"/>
      <c r="DZ6" s="945"/>
      <c r="EA6" s="945"/>
      <c r="EB6" s="945"/>
      <c r="EC6" s="945"/>
      <c r="ED6" s="945"/>
      <c r="EE6" s="945"/>
      <c r="EG6" s="945">
        <v>2027</v>
      </c>
      <c r="EH6" s="945"/>
      <c r="EI6" s="945"/>
      <c r="EJ6" s="945"/>
      <c r="EK6" s="945"/>
      <c r="EL6" s="945"/>
      <c r="EM6" s="945"/>
      <c r="EN6" s="945"/>
      <c r="EP6" s="945">
        <v>2028</v>
      </c>
      <c r="EQ6" s="945"/>
      <c r="ER6" s="945"/>
      <c r="ES6" s="945"/>
      <c r="ET6" s="945"/>
      <c r="EU6" s="945"/>
      <c r="EV6" s="945"/>
      <c r="EW6" s="945"/>
      <c r="EY6" s="945">
        <v>2029</v>
      </c>
      <c r="EZ6" s="945"/>
      <c r="FA6" s="945"/>
      <c r="FB6" s="945"/>
      <c r="FC6" s="945"/>
      <c r="FD6" s="945"/>
      <c r="FE6" s="945"/>
      <c r="FF6" s="945"/>
      <c r="FH6" s="945">
        <v>2030</v>
      </c>
      <c r="FI6" s="945"/>
      <c r="FJ6" s="945"/>
      <c r="FK6" s="945"/>
      <c r="FL6" s="945"/>
      <c r="FM6" s="945"/>
      <c r="FN6" s="945"/>
      <c r="FO6" s="945"/>
      <c r="FQ6" s="945">
        <v>2031</v>
      </c>
      <c r="FR6" s="945"/>
      <c r="FS6" s="945"/>
      <c r="FT6" s="945"/>
      <c r="FU6" s="945"/>
      <c r="FV6" s="945"/>
      <c r="FW6" s="945"/>
      <c r="FX6" s="945"/>
      <c r="FZ6" s="945">
        <v>2032</v>
      </c>
      <c r="GA6" s="945"/>
      <c r="GB6" s="945"/>
      <c r="GC6" s="945"/>
      <c r="GD6" s="945"/>
      <c r="GE6" s="945"/>
      <c r="GF6" s="945"/>
      <c r="GG6" s="945"/>
      <c r="GI6" s="945">
        <v>2033</v>
      </c>
      <c r="GJ6" s="945"/>
      <c r="GK6" s="945"/>
      <c r="GL6" s="945"/>
      <c r="GM6" s="945"/>
      <c r="GN6" s="945"/>
      <c r="GO6" s="945"/>
      <c r="GP6" s="945"/>
      <c r="GR6" s="945">
        <v>2034</v>
      </c>
      <c r="GS6" s="945"/>
      <c r="GT6" s="945"/>
      <c r="GU6" s="945"/>
      <c r="GV6" s="945"/>
      <c r="GW6" s="945"/>
      <c r="GX6" s="945"/>
      <c r="GY6" s="945"/>
      <c r="HA6" s="945">
        <v>2035</v>
      </c>
      <c r="HB6" s="945"/>
      <c r="HC6" s="945"/>
      <c r="HD6" s="945"/>
      <c r="HE6" s="945"/>
      <c r="HF6" s="945"/>
      <c r="HG6" s="945"/>
      <c r="HH6" s="945"/>
      <c r="HJ6" s="945">
        <v>2036</v>
      </c>
      <c r="HK6" s="945"/>
      <c r="HL6" s="945"/>
      <c r="HM6" s="945"/>
      <c r="HN6" s="945"/>
      <c r="HO6" s="945"/>
      <c r="HP6" s="945"/>
      <c r="HQ6" s="945"/>
      <c r="HS6" s="945">
        <v>2037</v>
      </c>
      <c r="HT6" s="945"/>
      <c r="HU6" s="945"/>
      <c r="HV6" s="945"/>
      <c r="HW6" s="945"/>
      <c r="HX6" s="945"/>
      <c r="HY6" s="945"/>
      <c r="HZ6" s="945"/>
      <c r="IB6" s="945">
        <v>2038</v>
      </c>
      <c r="IC6" s="945"/>
      <c r="ID6" s="945"/>
      <c r="IE6" s="945"/>
      <c r="IF6" s="945"/>
      <c r="IG6" s="945"/>
      <c r="IH6" s="945"/>
      <c r="II6" s="945"/>
      <c r="IK6" s="945">
        <v>2039</v>
      </c>
      <c r="IL6" s="945"/>
      <c r="IM6" s="945"/>
      <c r="IN6" s="945"/>
      <c r="IO6" s="945"/>
      <c r="IP6" s="945"/>
      <c r="IQ6" s="945"/>
      <c r="IR6" s="945"/>
      <c r="IT6" s="945">
        <v>2040</v>
      </c>
      <c r="IU6" s="945"/>
      <c r="IV6" s="945"/>
      <c r="IW6" s="945"/>
      <c r="IX6" s="945"/>
      <c r="IY6" s="945"/>
      <c r="IZ6" s="945"/>
      <c r="JA6" s="945"/>
      <c r="JC6" s="945">
        <v>2041</v>
      </c>
      <c r="JD6" s="945"/>
      <c r="JE6" s="945"/>
      <c r="JF6" s="945"/>
      <c r="JG6" s="945"/>
      <c r="JH6" s="945"/>
      <c r="JI6" s="945"/>
      <c r="JJ6" s="945"/>
      <c r="JL6" s="945">
        <v>2042</v>
      </c>
      <c r="JM6" s="945"/>
      <c r="JN6" s="945"/>
      <c r="JO6" s="945"/>
      <c r="JP6" s="945"/>
      <c r="JQ6" s="945"/>
      <c r="JR6" s="945"/>
      <c r="JS6" s="945"/>
      <c r="JU6" s="945">
        <v>2043</v>
      </c>
      <c r="JV6" s="945"/>
      <c r="JW6" s="945"/>
      <c r="JX6" s="945"/>
      <c r="JY6" s="945"/>
      <c r="JZ6" s="945"/>
      <c r="KA6" s="945"/>
      <c r="KB6" s="945"/>
      <c r="KD6" s="945">
        <v>2044</v>
      </c>
      <c r="KE6" s="945"/>
      <c r="KF6" s="945"/>
      <c r="KG6" s="945"/>
      <c r="KH6" s="945"/>
      <c r="KI6" s="945"/>
      <c r="KJ6" s="945"/>
      <c r="KK6" s="945"/>
      <c r="KM6" s="945">
        <v>2045</v>
      </c>
      <c r="KN6" s="945"/>
      <c r="KO6" s="945"/>
      <c r="KP6" s="945"/>
      <c r="KQ6" s="945"/>
      <c r="KR6" s="945"/>
      <c r="KS6" s="945"/>
      <c r="KT6" s="945"/>
      <c r="KV6" s="945">
        <v>2046</v>
      </c>
      <c r="KW6" s="945"/>
      <c r="KX6" s="945"/>
      <c r="KY6" s="945"/>
      <c r="KZ6" s="945"/>
      <c r="LA6" s="945"/>
      <c r="LB6" s="945"/>
      <c r="LC6" s="945"/>
    </row>
    <row r="7" spans="2:315" ht="30.2" customHeight="1">
      <c r="B7" s="590"/>
      <c r="C7" s="942" t="s">
        <v>577</v>
      </c>
      <c r="D7" s="942"/>
      <c r="E7" s="942"/>
      <c r="F7" s="943" t="s">
        <v>501</v>
      </c>
      <c r="G7" s="589" t="s">
        <v>576</v>
      </c>
      <c r="H7" s="940" t="s">
        <v>575</v>
      </c>
      <c r="I7" s="941"/>
      <c r="K7" s="590"/>
      <c r="L7" s="942" t="s">
        <v>577</v>
      </c>
      <c r="M7" s="942"/>
      <c r="N7" s="942"/>
      <c r="O7" s="943" t="s">
        <v>501</v>
      </c>
      <c r="P7" s="589" t="s">
        <v>576</v>
      </c>
      <c r="Q7" s="940" t="s">
        <v>575</v>
      </c>
      <c r="R7" s="941"/>
      <c r="T7" s="590"/>
      <c r="U7" s="942" t="s">
        <v>577</v>
      </c>
      <c r="V7" s="942"/>
      <c r="W7" s="942"/>
      <c r="X7" s="943" t="s">
        <v>501</v>
      </c>
      <c r="Y7" s="589" t="s">
        <v>576</v>
      </c>
      <c r="Z7" s="940" t="s">
        <v>575</v>
      </c>
      <c r="AA7" s="941"/>
      <c r="AC7" s="590"/>
      <c r="AD7" s="942" t="s">
        <v>577</v>
      </c>
      <c r="AE7" s="942"/>
      <c r="AF7" s="942"/>
      <c r="AG7" s="943" t="s">
        <v>501</v>
      </c>
      <c r="AH7" s="589" t="s">
        <v>576</v>
      </c>
      <c r="AI7" s="940" t="s">
        <v>575</v>
      </c>
      <c r="AJ7" s="941"/>
      <c r="AL7" s="590"/>
      <c r="AM7" s="942" t="s">
        <v>577</v>
      </c>
      <c r="AN7" s="942"/>
      <c r="AO7" s="942"/>
      <c r="AP7" s="943" t="s">
        <v>501</v>
      </c>
      <c r="AQ7" s="589" t="s">
        <v>576</v>
      </c>
      <c r="AR7" s="940" t="s">
        <v>575</v>
      </c>
      <c r="AS7" s="941"/>
      <c r="AU7" s="590"/>
      <c r="AV7" s="942" t="s">
        <v>577</v>
      </c>
      <c r="AW7" s="942"/>
      <c r="AX7" s="942"/>
      <c r="AY7" s="943" t="s">
        <v>501</v>
      </c>
      <c r="AZ7" s="589" t="s">
        <v>576</v>
      </c>
      <c r="BA7" s="940" t="s">
        <v>575</v>
      </c>
      <c r="BB7" s="941"/>
      <c r="BD7" s="590"/>
      <c r="BE7" s="942" t="s">
        <v>577</v>
      </c>
      <c r="BF7" s="942"/>
      <c r="BG7" s="942"/>
      <c r="BH7" s="943" t="s">
        <v>501</v>
      </c>
      <c r="BI7" s="589" t="s">
        <v>576</v>
      </c>
      <c r="BJ7" s="940" t="s">
        <v>575</v>
      </c>
      <c r="BK7" s="941"/>
      <c r="BM7" s="590"/>
      <c r="BN7" s="942" t="s">
        <v>577</v>
      </c>
      <c r="BO7" s="942"/>
      <c r="BP7" s="942"/>
      <c r="BQ7" s="943" t="s">
        <v>501</v>
      </c>
      <c r="BR7" s="589" t="s">
        <v>576</v>
      </c>
      <c r="BS7" s="940" t="s">
        <v>575</v>
      </c>
      <c r="BT7" s="941"/>
      <c r="BV7" s="590"/>
      <c r="BW7" s="942" t="s">
        <v>577</v>
      </c>
      <c r="BX7" s="942"/>
      <c r="BY7" s="942"/>
      <c r="BZ7" s="943" t="s">
        <v>501</v>
      </c>
      <c r="CA7" s="589" t="s">
        <v>576</v>
      </c>
      <c r="CB7" s="940" t="s">
        <v>575</v>
      </c>
      <c r="CC7" s="941"/>
      <c r="CE7" s="590"/>
      <c r="CF7" s="942" t="s">
        <v>577</v>
      </c>
      <c r="CG7" s="942"/>
      <c r="CH7" s="942"/>
      <c r="CI7" s="943" t="s">
        <v>501</v>
      </c>
      <c r="CJ7" s="589" t="s">
        <v>576</v>
      </c>
      <c r="CK7" s="940" t="s">
        <v>575</v>
      </c>
      <c r="CL7" s="941"/>
      <c r="CN7" s="590"/>
      <c r="CO7" s="942" t="s">
        <v>577</v>
      </c>
      <c r="CP7" s="942"/>
      <c r="CQ7" s="942"/>
      <c r="CR7" s="943" t="s">
        <v>501</v>
      </c>
      <c r="CS7" s="589" t="s">
        <v>576</v>
      </c>
      <c r="CT7" s="940" t="s">
        <v>575</v>
      </c>
      <c r="CU7" s="941"/>
      <c r="CW7" s="590"/>
      <c r="CX7" s="942" t="s">
        <v>577</v>
      </c>
      <c r="CY7" s="942"/>
      <c r="CZ7" s="942"/>
      <c r="DA7" s="943" t="s">
        <v>501</v>
      </c>
      <c r="DB7" s="589" t="s">
        <v>576</v>
      </c>
      <c r="DC7" s="940" t="s">
        <v>575</v>
      </c>
      <c r="DD7" s="941"/>
      <c r="DF7" s="590"/>
      <c r="DG7" s="942" t="s">
        <v>577</v>
      </c>
      <c r="DH7" s="942"/>
      <c r="DI7" s="942"/>
      <c r="DJ7" s="943" t="s">
        <v>501</v>
      </c>
      <c r="DK7" s="589" t="s">
        <v>576</v>
      </c>
      <c r="DL7" s="940" t="s">
        <v>575</v>
      </c>
      <c r="DM7" s="941"/>
      <c r="DO7" s="590"/>
      <c r="DP7" s="942" t="s">
        <v>577</v>
      </c>
      <c r="DQ7" s="942"/>
      <c r="DR7" s="942"/>
      <c r="DS7" s="943" t="s">
        <v>501</v>
      </c>
      <c r="DT7" s="589" t="s">
        <v>576</v>
      </c>
      <c r="DU7" s="940" t="s">
        <v>575</v>
      </c>
      <c r="DV7" s="941"/>
      <c r="DX7" s="590"/>
      <c r="DY7" s="942" t="s">
        <v>577</v>
      </c>
      <c r="DZ7" s="942"/>
      <c r="EA7" s="942"/>
      <c r="EB7" s="943" t="s">
        <v>501</v>
      </c>
      <c r="EC7" s="589" t="s">
        <v>576</v>
      </c>
      <c r="ED7" s="940" t="s">
        <v>575</v>
      </c>
      <c r="EE7" s="941"/>
      <c r="EG7" s="590"/>
      <c r="EH7" s="942" t="s">
        <v>577</v>
      </c>
      <c r="EI7" s="942"/>
      <c r="EJ7" s="942"/>
      <c r="EK7" s="943" t="s">
        <v>501</v>
      </c>
      <c r="EL7" s="589" t="s">
        <v>576</v>
      </c>
      <c r="EM7" s="940" t="s">
        <v>575</v>
      </c>
      <c r="EN7" s="941"/>
      <c r="EP7" s="590"/>
      <c r="EQ7" s="942" t="s">
        <v>577</v>
      </c>
      <c r="ER7" s="942"/>
      <c r="ES7" s="942"/>
      <c r="ET7" s="943" t="s">
        <v>501</v>
      </c>
      <c r="EU7" s="589" t="s">
        <v>576</v>
      </c>
      <c r="EV7" s="940" t="s">
        <v>575</v>
      </c>
      <c r="EW7" s="941"/>
      <c r="EY7" s="590"/>
      <c r="EZ7" s="942" t="s">
        <v>577</v>
      </c>
      <c r="FA7" s="942"/>
      <c r="FB7" s="942"/>
      <c r="FC7" s="943" t="s">
        <v>501</v>
      </c>
      <c r="FD7" s="589" t="s">
        <v>576</v>
      </c>
      <c r="FE7" s="940" t="s">
        <v>575</v>
      </c>
      <c r="FF7" s="941"/>
      <c r="FH7" s="590"/>
      <c r="FI7" s="942" t="s">
        <v>577</v>
      </c>
      <c r="FJ7" s="942"/>
      <c r="FK7" s="942"/>
      <c r="FL7" s="943" t="s">
        <v>501</v>
      </c>
      <c r="FM7" s="589" t="s">
        <v>576</v>
      </c>
      <c r="FN7" s="940" t="s">
        <v>575</v>
      </c>
      <c r="FO7" s="941"/>
      <c r="FQ7" s="590"/>
      <c r="FR7" s="942" t="s">
        <v>577</v>
      </c>
      <c r="FS7" s="942"/>
      <c r="FT7" s="942"/>
      <c r="FU7" s="943" t="s">
        <v>501</v>
      </c>
      <c r="FV7" s="589" t="s">
        <v>576</v>
      </c>
      <c r="FW7" s="940" t="s">
        <v>575</v>
      </c>
      <c r="FX7" s="941"/>
      <c r="FZ7" s="590"/>
      <c r="GA7" s="942" t="s">
        <v>577</v>
      </c>
      <c r="GB7" s="942"/>
      <c r="GC7" s="942"/>
      <c r="GD7" s="943" t="s">
        <v>501</v>
      </c>
      <c r="GE7" s="589" t="s">
        <v>576</v>
      </c>
      <c r="GF7" s="940" t="s">
        <v>575</v>
      </c>
      <c r="GG7" s="941"/>
      <c r="GI7" s="590"/>
      <c r="GJ7" s="942" t="s">
        <v>577</v>
      </c>
      <c r="GK7" s="942"/>
      <c r="GL7" s="942"/>
      <c r="GM7" s="943" t="s">
        <v>501</v>
      </c>
      <c r="GN7" s="589" t="s">
        <v>576</v>
      </c>
      <c r="GO7" s="940" t="s">
        <v>575</v>
      </c>
      <c r="GP7" s="941"/>
      <c r="GR7" s="590"/>
      <c r="GS7" s="942" t="s">
        <v>577</v>
      </c>
      <c r="GT7" s="942"/>
      <c r="GU7" s="942"/>
      <c r="GV7" s="943" t="s">
        <v>501</v>
      </c>
      <c r="GW7" s="589" t="s">
        <v>576</v>
      </c>
      <c r="GX7" s="940" t="s">
        <v>575</v>
      </c>
      <c r="GY7" s="941"/>
      <c r="HA7" s="590"/>
      <c r="HB7" s="942" t="s">
        <v>577</v>
      </c>
      <c r="HC7" s="942"/>
      <c r="HD7" s="942"/>
      <c r="HE7" s="943" t="s">
        <v>501</v>
      </c>
      <c r="HF7" s="589" t="s">
        <v>576</v>
      </c>
      <c r="HG7" s="940" t="s">
        <v>575</v>
      </c>
      <c r="HH7" s="941"/>
      <c r="HJ7" s="590"/>
      <c r="HK7" s="942" t="s">
        <v>577</v>
      </c>
      <c r="HL7" s="942"/>
      <c r="HM7" s="942"/>
      <c r="HN7" s="943" t="s">
        <v>501</v>
      </c>
      <c r="HO7" s="589" t="s">
        <v>576</v>
      </c>
      <c r="HP7" s="940" t="s">
        <v>575</v>
      </c>
      <c r="HQ7" s="941"/>
      <c r="HS7" s="590"/>
      <c r="HT7" s="942" t="s">
        <v>577</v>
      </c>
      <c r="HU7" s="942"/>
      <c r="HV7" s="942"/>
      <c r="HW7" s="943" t="s">
        <v>501</v>
      </c>
      <c r="HX7" s="589" t="s">
        <v>576</v>
      </c>
      <c r="HY7" s="940" t="s">
        <v>575</v>
      </c>
      <c r="HZ7" s="941"/>
      <c r="IB7" s="590"/>
      <c r="IC7" s="942" t="s">
        <v>577</v>
      </c>
      <c r="ID7" s="942"/>
      <c r="IE7" s="942"/>
      <c r="IF7" s="943" t="s">
        <v>501</v>
      </c>
      <c r="IG7" s="589" t="s">
        <v>576</v>
      </c>
      <c r="IH7" s="940" t="s">
        <v>575</v>
      </c>
      <c r="II7" s="941"/>
      <c r="IK7" s="590"/>
      <c r="IL7" s="942" t="s">
        <v>577</v>
      </c>
      <c r="IM7" s="942"/>
      <c r="IN7" s="942"/>
      <c r="IO7" s="943" t="s">
        <v>501</v>
      </c>
      <c r="IP7" s="589" t="s">
        <v>576</v>
      </c>
      <c r="IQ7" s="940" t="s">
        <v>575</v>
      </c>
      <c r="IR7" s="941"/>
      <c r="IT7" s="590"/>
      <c r="IU7" s="942" t="s">
        <v>577</v>
      </c>
      <c r="IV7" s="942"/>
      <c r="IW7" s="942"/>
      <c r="IX7" s="943" t="s">
        <v>501</v>
      </c>
      <c r="IY7" s="589" t="s">
        <v>576</v>
      </c>
      <c r="IZ7" s="940" t="s">
        <v>575</v>
      </c>
      <c r="JA7" s="941"/>
      <c r="JC7" s="590"/>
      <c r="JD7" s="942" t="s">
        <v>577</v>
      </c>
      <c r="JE7" s="942"/>
      <c r="JF7" s="942"/>
      <c r="JG7" s="943" t="s">
        <v>501</v>
      </c>
      <c r="JH7" s="589" t="s">
        <v>576</v>
      </c>
      <c r="JI7" s="940" t="s">
        <v>575</v>
      </c>
      <c r="JJ7" s="941"/>
      <c r="JL7" s="590"/>
      <c r="JM7" s="942" t="s">
        <v>577</v>
      </c>
      <c r="JN7" s="942"/>
      <c r="JO7" s="942"/>
      <c r="JP7" s="943" t="s">
        <v>501</v>
      </c>
      <c r="JQ7" s="589" t="s">
        <v>576</v>
      </c>
      <c r="JR7" s="940" t="s">
        <v>575</v>
      </c>
      <c r="JS7" s="941"/>
      <c r="JU7" s="590"/>
      <c r="JV7" s="942" t="s">
        <v>577</v>
      </c>
      <c r="JW7" s="942"/>
      <c r="JX7" s="942"/>
      <c r="JY7" s="943" t="s">
        <v>501</v>
      </c>
      <c r="JZ7" s="589" t="s">
        <v>576</v>
      </c>
      <c r="KA7" s="940" t="s">
        <v>575</v>
      </c>
      <c r="KB7" s="941"/>
      <c r="KD7" s="590"/>
      <c r="KE7" s="942" t="s">
        <v>577</v>
      </c>
      <c r="KF7" s="942"/>
      <c r="KG7" s="942"/>
      <c r="KH7" s="943" t="s">
        <v>501</v>
      </c>
      <c r="KI7" s="589" t="s">
        <v>576</v>
      </c>
      <c r="KJ7" s="940" t="s">
        <v>575</v>
      </c>
      <c r="KK7" s="941"/>
      <c r="KM7" s="590"/>
      <c r="KN7" s="942" t="s">
        <v>577</v>
      </c>
      <c r="KO7" s="942"/>
      <c r="KP7" s="942"/>
      <c r="KQ7" s="943" t="s">
        <v>501</v>
      </c>
      <c r="KR7" s="589" t="s">
        <v>576</v>
      </c>
      <c r="KS7" s="940" t="s">
        <v>575</v>
      </c>
      <c r="KT7" s="941"/>
      <c r="KV7" s="590"/>
      <c r="KW7" s="942" t="s">
        <v>577</v>
      </c>
      <c r="KX7" s="942"/>
      <c r="KY7" s="942"/>
      <c r="KZ7" s="943" t="s">
        <v>501</v>
      </c>
      <c r="LA7" s="589" t="s">
        <v>576</v>
      </c>
      <c r="LB7" s="940" t="s">
        <v>575</v>
      </c>
      <c r="LC7" s="941"/>
    </row>
    <row r="8" spans="2:315">
      <c r="B8" s="576" t="s">
        <v>574</v>
      </c>
      <c r="C8" s="576" t="s">
        <v>573</v>
      </c>
      <c r="D8" s="576" t="s">
        <v>572</v>
      </c>
      <c r="E8" s="576" t="s">
        <v>571</v>
      </c>
      <c r="F8" s="944"/>
      <c r="G8" s="576" t="s">
        <v>569</v>
      </c>
      <c r="H8" s="588" t="s">
        <v>570</v>
      </c>
      <c r="I8" s="576" t="s">
        <v>569</v>
      </c>
      <c r="K8" s="576" t="s">
        <v>574</v>
      </c>
      <c r="L8" s="576" t="s">
        <v>573</v>
      </c>
      <c r="M8" s="576" t="s">
        <v>572</v>
      </c>
      <c r="N8" s="576" t="s">
        <v>571</v>
      </c>
      <c r="O8" s="944"/>
      <c r="P8" s="576" t="s">
        <v>569</v>
      </c>
      <c r="Q8" s="588" t="s">
        <v>570</v>
      </c>
      <c r="R8" s="576" t="s">
        <v>569</v>
      </c>
      <c r="T8" s="576" t="s">
        <v>574</v>
      </c>
      <c r="U8" s="576" t="s">
        <v>573</v>
      </c>
      <c r="V8" s="576" t="s">
        <v>572</v>
      </c>
      <c r="W8" s="576" t="s">
        <v>571</v>
      </c>
      <c r="X8" s="944"/>
      <c r="Y8" s="576" t="s">
        <v>569</v>
      </c>
      <c r="Z8" s="588" t="s">
        <v>570</v>
      </c>
      <c r="AA8" s="576" t="s">
        <v>569</v>
      </c>
      <c r="AC8" s="576" t="s">
        <v>574</v>
      </c>
      <c r="AD8" s="576" t="s">
        <v>573</v>
      </c>
      <c r="AE8" s="576" t="s">
        <v>572</v>
      </c>
      <c r="AF8" s="576" t="s">
        <v>571</v>
      </c>
      <c r="AG8" s="944"/>
      <c r="AH8" s="576" t="s">
        <v>569</v>
      </c>
      <c r="AI8" s="588" t="s">
        <v>570</v>
      </c>
      <c r="AJ8" s="576" t="s">
        <v>569</v>
      </c>
      <c r="AL8" s="576" t="s">
        <v>574</v>
      </c>
      <c r="AM8" s="576" t="s">
        <v>573</v>
      </c>
      <c r="AN8" s="576" t="s">
        <v>572</v>
      </c>
      <c r="AO8" s="576" t="s">
        <v>571</v>
      </c>
      <c r="AP8" s="944"/>
      <c r="AQ8" s="576" t="s">
        <v>569</v>
      </c>
      <c r="AR8" s="588" t="s">
        <v>570</v>
      </c>
      <c r="AS8" s="576" t="s">
        <v>569</v>
      </c>
      <c r="AU8" s="576" t="s">
        <v>574</v>
      </c>
      <c r="AV8" s="576" t="s">
        <v>573</v>
      </c>
      <c r="AW8" s="576" t="s">
        <v>572</v>
      </c>
      <c r="AX8" s="576" t="s">
        <v>571</v>
      </c>
      <c r="AY8" s="944"/>
      <c r="AZ8" s="576" t="s">
        <v>569</v>
      </c>
      <c r="BA8" s="588" t="s">
        <v>570</v>
      </c>
      <c r="BB8" s="576" t="s">
        <v>569</v>
      </c>
      <c r="BD8" s="576" t="s">
        <v>574</v>
      </c>
      <c r="BE8" s="576" t="s">
        <v>573</v>
      </c>
      <c r="BF8" s="576" t="s">
        <v>572</v>
      </c>
      <c r="BG8" s="576" t="s">
        <v>571</v>
      </c>
      <c r="BH8" s="944"/>
      <c r="BI8" s="576" t="s">
        <v>569</v>
      </c>
      <c r="BJ8" s="588" t="s">
        <v>570</v>
      </c>
      <c r="BK8" s="576" t="s">
        <v>569</v>
      </c>
      <c r="BM8" s="576" t="s">
        <v>574</v>
      </c>
      <c r="BN8" s="576" t="s">
        <v>573</v>
      </c>
      <c r="BO8" s="576" t="s">
        <v>572</v>
      </c>
      <c r="BP8" s="576" t="s">
        <v>571</v>
      </c>
      <c r="BQ8" s="944"/>
      <c r="BR8" s="576" t="s">
        <v>569</v>
      </c>
      <c r="BS8" s="588" t="s">
        <v>570</v>
      </c>
      <c r="BT8" s="576" t="s">
        <v>569</v>
      </c>
      <c r="BV8" s="576" t="s">
        <v>574</v>
      </c>
      <c r="BW8" s="576" t="s">
        <v>573</v>
      </c>
      <c r="BX8" s="576" t="s">
        <v>572</v>
      </c>
      <c r="BY8" s="576" t="s">
        <v>571</v>
      </c>
      <c r="BZ8" s="944"/>
      <c r="CA8" s="576" t="s">
        <v>569</v>
      </c>
      <c r="CB8" s="588" t="s">
        <v>570</v>
      </c>
      <c r="CC8" s="576" t="s">
        <v>569</v>
      </c>
      <c r="CE8" s="576" t="s">
        <v>574</v>
      </c>
      <c r="CF8" s="576" t="s">
        <v>573</v>
      </c>
      <c r="CG8" s="576" t="s">
        <v>572</v>
      </c>
      <c r="CH8" s="576" t="s">
        <v>571</v>
      </c>
      <c r="CI8" s="944"/>
      <c r="CJ8" s="576" t="s">
        <v>569</v>
      </c>
      <c r="CK8" s="588" t="s">
        <v>570</v>
      </c>
      <c r="CL8" s="576" t="s">
        <v>569</v>
      </c>
      <c r="CN8" s="576" t="s">
        <v>574</v>
      </c>
      <c r="CO8" s="576" t="s">
        <v>573</v>
      </c>
      <c r="CP8" s="576" t="s">
        <v>572</v>
      </c>
      <c r="CQ8" s="576" t="s">
        <v>571</v>
      </c>
      <c r="CR8" s="944"/>
      <c r="CS8" s="576" t="s">
        <v>569</v>
      </c>
      <c r="CT8" s="588" t="s">
        <v>570</v>
      </c>
      <c r="CU8" s="576" t="s">
        <v>569</v>
      </c>
      <c r="CW8" s="576" t="s">
        <v>574</v>
      </c>
      <c r="CX8" s="576" t="s">
        <v>573</v>
      </c>
      <c r="CY8" s="576" t="s">
        <v>572</v>
      </c>
      <c r="CZ8" s="576" t="s">
        <v>571</v>
      </c>
      <c r="DA8" s="944"/>
      <c r="DB8" s="576" t="s">
        <v>569</v>
      </c>
      <c r="DC8" s="588" t="s">
        <v>570</v>
      </c>
      <c r="DD8" s="576" t="s">
        <v>569</v>
      </c>
      <c r="DF8" s="576" t="s">
        <v>574</v>
      </c>
      <c r="DG8" s="576" t="s">
        <v>573</v>
      </c>
      <c r="DH8" s="576" t="s">
        <v>572</v>
      </c>
      <c r="DI8" s="576" t="s">
        <v>571</v>
      </c>
      <c r="DJ8" s="944"/>
      <c r="DK8" s="576" t="s">
        <v>569</v>
      </c>
      <c r="DL8" s="588" t="s">
        <v>570</v>
      </c>
      <c r="DM8" s="576" t="s">
        <v>569</v>
      </c>
      <c r="DO8" s="576" t="s">
        <v>574</v>
      </c>
      <c r="DP8" s="576" t="s">
        <v>573</v>
      </c>
      <c r="DQ8" s="576" t="s">
        <v>572</v>
      </c>
      <c r="DR8" s="576" t="s">
        <v>571</v>
      </c>
      <c r="DS8" s="944"/>
      <c r="DT8" s="576" t="s">
        <v>569</v>
      </c>
      <c r="DU8" s="588" t="s">
        <v>570</v>
      </c>
      <c r="DV8" s="576" t="s">
        <v>569</v>
      </c>
      <c r="DX8" s="576" t="s">
        <v>574</v>
      </c>
      <c r="DY8" s="576" t="s">
        <v>573</v>
      </c>
      <c r="DZ8" s="576" t="s">
        <v>572</v>
      </c>
      <c r="EA8" s="576" t="s">
        <v>571</v>
      </c>
      <c r="EB8" s="944"/>
      <c r="EC8" s="576" t="s">
        <v>569</v>
      </c>
      <c r="ED8" s="588" t="s">
        <v>570</v>
      </c>
      <c r="EE8" s="576" t="s">
        <v>569</v>
      </c>
      <c r="EG8" s="576" t="s">
        <v>574</v>
      </c>
      <c r="EH8" s="576" t="s">
        <v>573</v>
      </c>
      <c r="EI8" s="576" t="s">
        <v>572</v>
      </c>
      <c r="EJ8" s="576" t="s">
        <v>571</v>
      </c>
      <c r="EK8" s="944"/>
      <c r="EL8" s="576" t="s">
        <v>569</v>
      </c>
      <c r="EM8" s="588" t="s">
        <v>570</v>
      </c>
      <c r="EN8" s="576" t="s">
        <v>569</v>
      </c>
      <c r="EP8" s="576" t="s">
        <v>574</v>
      </c>
      <c r="EQ8" s="576" t="s">
        <v>573</v>
      </c>
      <c r="ER8" s="576" t="s">
        <v>572</v>
      </c>
      <c r="ES8" s="576" t="s">
        <v>571</v>
      </c>
      <c r="ET8" s="944"/>
      <c r="EU8" s="576" t="s">
        <v>569</v>
      </c>
      <c r="EV8" s="588" t="s">
        <v>570</v>
      </c>
      <c r="EW8" s="576" t="s">
        <v>569</v>
      </c>
      <c r="EY8" s="576" t="s">
        <v>574</v>
      </c>
      <c r="EZ8" s="576" t="s">
        <v>573</v>
      </c>
      <c r="FA8" s="576" t="s">
        <v>572</v>
      </c>
      <c r="FB8" s="576" t="s">
        <v>571</v>
      </c>
      <c r="FC8" s="944"/>
      <c r="FD8" s="576" t="s">
        <v>569</v>
      </c>
      <c r="FE8" s="588" t="s">
        <v>570</v>
      </c>
      <c r="FF8" s="576" t="s">
        <v>569</v>
      </c>
      <c r="FH8" s="576" t="s">
        <v>574</v>
      </c>
      <c r="FI8" s="576" t="s">
        <v>573</v>
      </c>
      <c r="FJ8" s="576" t="s">
        <v>572</v>
      </c>
      <c r="FK8" s="576" t="s">
        <v>571</v>
      </c>
      <c r="FL8" s="944"/>
      <c r="FM8" s="576" t="s">
        <v>569</v>
      </c>
      <c r="FN8" s="588" t="s">
        <v>570</v>
      </c>
      <c r="FO8" s="576" t="s">
        <v>569</v>
      </c>
      <c r="FQ8" s="576" t="s">
        <v>574</v>
      </c>
      <c r="FR8" s="576" t="s">
        <v>573</v>
      </c>
      <c r="FS8" s="576" t="s">
        <v>572</v>
      </c>
      <c r="FT8" s="576" t="s">
        <v>571</v>
      </c>
      <c r="FU8" s="944"/>
      <c r="FV8" s="576" t="s">
        <v>569</v>
      </c>
      <c r="FW8" s="588" t="s">
        <v>570</v>
      </c>
      <c r="FX8" s="576" t="s">
        <v>569</v>
      </c>
      <c r="FZ8" s="576" t="s">
        <v>574</v>
      </c>
      <c r="GA8" s="576" t="s">
        <v>573</v>
      </c>
      <c r="GB8" s="576" t="s">
        <v>572</v>
      </c>
      <c r="GC8" s="576" t="s">
        <v>571</v>
      </c>
      <c r="GD8" s="944"/>
      <c r="GE8" s="576" t="s">
        <v>569</v>
      </c>
      <c r="GF8" s="588" t="s">
        <v>570</v>
      </c>
      <c r="GG8" s="576" t="s">
        <v>569</v>
      </c>
      <c r="GI8" s="576" t="s">
        <v>574</v>
      </c>
      <c r="GJ8" s="576" t="s">
        <v>573</v>
      </c>
      <c r="GK8" s="576" t="s">
        <v>572</v>
      </c>
      <c r="GL8" s="576" t="s">
        <v>571</v>
      </c>
      <c r="GM8" s="944"/>
      <c r="GN8" s="576" t="s">
        <v>569</v>
      </c>
      <c r="GO8" s="588" t="s">
        <v>570</v>
      </c>
      <c r="GP8" s="576" t="s">
        <v>569</v>
      </c>
      <c r="GR8" s="576" t="s">
        <v>574</v>
      </c>
      <c r="GS8" s="576" t="s">
        <v>573</v>
      </c>
      <c r="GT8" s="576" t="s">
        <v>572</v>
      </c>
      <c r="GU8" s="576" t="s">
        <v>571</v>
      </c>
      <c r="GV8" s="944"/>
      <c r="GW8" s="576" t="s">
        <v>569</v>
      </c>
      <c r="GX8" s="588" t="s">
        <v>570</v>
      </c>
      <c r="GY8" s="576" t="s">
        <v>569</v>
      </c>
      <c r="HA8" s="576" t="s">
        <v>574</v>
      </c>
      <c r="HB8" s="576" t="s">
        <v>573</v>
      </c>
      <c r="HC8" s="576" t="s">
        <v>572</v>
      </c>
      <c r="HD8" s="576" t="s">
        <v>571</v>
      </c>
      <c r="HE8" s="944"/>
      <c r="HF8" s="576" t="s">
        <v>569</v>
      </c>
      <c r="HG8" s="588" t="s">
        <v>570</v>
      </c>
      <c r="HH8" s="576" t="s">
        <v>569</v>
      </c>
      <c r="HJ8" s="576" t="s">
        <v>574</v>
      </c>
      <c r="HK8" s="576" t="s">
        <v>573</v>
      </c>
      <c r="HL8" s="576" t="s">
        <v>572</v>
      </c>
      <c r="HM8" s="576" t="s">
        <v>571</v>
      </c>
      <c r="HN8" s="944"/>
      <c r="HO8" s="576" t="s">
        <v>569</v>
      </c>
      <c r="HP8" s="588" t="s">
        <v>570</v>
      </c>
      <c r="HQ8" s="576" t="s">
        <v>569</v>
      </c>
      <c r="HS8" s="576" t="s">
        <v>574</v>
      </c>
      <c r="HT8" s="576" t="s">
        <v>573</v>
      </c>
      <c r="HU8" s="576" t="s">
        <v>572</v>
      </c>
      <c r="HV8" s="576" t="s">
        <v>571</v>
      </c>
      <c r="HW8" s="944"/>
      <c r="HX8" s="576" t="s">
        <v>569</v>
      </c>
      <c r="HY8" s="588" t="s">
        <v>570</v>
      </c>
      <c r="HZ8" s="576" t="s">
        <v>569</v>
      </c>
      <c r="IB8" s="576" t="s">
        <v>574</v>
      </c>
      <c r="IC8" s="576" t="s">
        <v>573</v>
      </c>
      <c r="ID8" s="576" t="s">
        <v>572</v>
      </c>
      <c r="IE8" s="576" t="s">
        <v>571</v>
      </c>
      <c r="IF8" s="944"/>
      <c r="IG8" s="576" t="s">
        <v>569</v>
      </c>
      <c r="IH8" s="588" t="s">
        <v>570</v>
      </c>
      <c r="II8" s="576" t="s">
        <v>569</v>
      </c>
      <c r="IK8" s="576" t="s">
        <v>574</v>
      </c>
      <c r="IL8" s="576" t="s">
        <v>573</v>
      </c>
      <c r="IM8" s="576" t="s">
        <v>572</v>
      </c>
      <c r="IN8" s="576" t="s">
        <v>571</v>
      </c>
      <c r="IO8" s="944"/>
      <c r="IP8" s="576" t="s">
        <v>569</v>
      </c>
      <c r="IQ8" s="588" t="s">
        <v>570</v>
      </c>
      <c r="IR8" s="576" t="s">
        <v>569</v>
      </c>
      <c r="IT8" s="576" t="s">
        <v>574</v>
      </c>
      <c r="IU8" s="576" t="s">
        <v>573</v>
      </c>
      <c r="IV8" s="576" t="s">
        <v>572</v>
      </c>
      <c r="IW8" s="576" t="s">
        <v>571</v>
      </c>
      <c r="IX8" s="944"/>
      <c r="IY8" s="576" t="s">
        <v>569</v>
      </c>
      <c r="IZ8" s="588" t="s">
        <v>570</v>
      </c>
      <c r="JA8" s="576" t="s">
        <v>569</v>
      </c>
      <c r="JC8" s="576" t="s">
        <v>574</v>
      </c>
      <c r="JD8" s="576" t="s">
        <v>573</v>
      </c>
      <c r="JE8" s="576" t="s">
        <v>572</v>
      </c>
      <c r="JF8" s="576" t="s">
        <v>571</v>
      </c>
      <c r="JG8" s="944"/>
      <c r="JH8" s="576" t="s">
        <v>569</v>
      </c>
      <c r="JI8" s="588" t="s">
        <v>570</v>
      </c>
      <c r="JJ8" s="576" t="s">
        <v>569</v>
      </c>
      <c r="JL8" s="576" t="s">
        <v>574</v>
      </c>
      <c r="JM8" s="576" t="s">
        <v>573</v>
      </c>
      <c r="JN8" s="576" t="s">
        <v>572</v>
      </c>
      <c r="JO8" s="576" t="s">
        <v>571</v>
      </c>
      <c r="JP8" s="944"/>
      <c r="JQ8" s="576" t="s">
        <v>569</v>
      </c>
      <c r="JR8" s="588" t="s">
        <v>570</v>
      </c>
      <c r="JS8" s="576" t="s">
        <v>569</v>
      </c>
      <c r="JU8" s="576" t="s">
        <v>574</v>
      </c>
      <c r="JV8" s="576" t="s">
        <v>573</v>
      </c>
      <c r="JW8" s="576" t="s">
        <v>572</v>
      </c>
      <c r="JX8" s="576" t="s">
        <v>571</v>
      </c>
      <c r="JY8" s="944"/>
      <c r="JZ8" s="576" t="s">
        <v>569</v>
      </c>
      <c r="KA8" s="588" t="s">
        <v>570</v>
      </c>
      <c r="KB8" s="576" t="s">
        <v>569</v>
      </c>
      <c r="KD8" s="576" t="s">
        <v>574</v>
      </c>
      <c r="KE8" s="576" t="s">
        <v>573</v>
      </c>
      <c r="KF8" s="576" t="s">
        <v>572</v>
      </c>
      <c r="KG8" s="576" t="s">
        <v>571</v>
      </c>
      <c r="KH8" s="944"/>
      <c r="KI8" s="576" t="s">
        <v>569</v>
      </c>
      <c r="KJ8" s="588" t="s">
        <v>570</v>
      </c>
      <c r="KK8" s="576" t="s">
        <v>569</v>
      </c>
      <c r="KM8" s="576" t="s">
        <v>574</v>
      </c>
      <c r="KN8" s="576" t="s">
        <v>573</v>
      </c>
      <c r="KO8" s="576" t="s">
        <v>572</v>
      </c>
      <c r="KP8" s="576" t="s">
        <v>571</v>
      </c>
      <c r="KQ8" s="944"/>
      <c r="KR8" s="576" t="s">
        <v>569</v>
      </c>
      <c r="KS8" s="588" t="s">
        <v>570</v>
      </c>
      <c r="KT8" s="576" t="s">
        <v>569</v>
      </c>
      <c r="KV8" s="576" t="s">
        <v>574</v>
      </c>
      <c r="KW8" s="576" t="s">
        <v>573</v>
      </c>
      <c r="KX8" s="576" t="s">
        <v>572</v>
      </c>
      <c r="KY8" s="576" t="s">
        <v>571</v>
      </c>
      <c r="KZ8" s="944"/>
      <c r="LA8" s="576" t="s">
        <v>569</v>
      </c>
      <c r="LB8" s="588" t="s">
        <v>570</v>
      </c>
      <c r="LC8" s="576" t="s">
        <v>569</v>
      </c>
    </row>
    <row r="9" spans="2:315">
      <c r="B9" s="585" t="s">
        <v>568</v>
      </c>
      <c r="C9" s="584"/>
      <c r="D9" s="584" t="s">
        <v>556</v>
      </c>
      <c r="E9" s="563" t="s">
        <v>556</v>
      </c>
      <c r="F9" s="583">
        <v>1.09484</v>
      </c>
      <c r="G9" s="563" t="s">
        <v>556</v>
      </c>
      <c r="H9" s="582">
        <v>0.15</v>
      </c>
      <c r="I9" s="563">
        <v>0</v>
      </c>
      <c r="K9" s="585" t="s">
        <v>568</v>
      </c>
      <c r="L9" s="584">
        <v>2000</v>
      </c>
      <c r="M9" s="584">
        <v>285</v>
      </c>
      <c r="N9" s="563">
        <v>1715</v>
      </c>
      <c r="O9" s="583">
        <v>1.16222</v>
      </c>
      <c r="P9" s="563">
        <v>1475.6242363752128</v>
      </c>
      <c r="Q9" s="582">
        <v>0.15</v>
      </c>
      <c r="R9" s="563">
        <v>221.34363545628193</v>
      </c>
      <c r="T9" s="585" t="s">
        <v>568</v>
      </c>
      <c r="U9" s="584"/>
      <c r="V9" s="584" t="s">
        <v>556</v>
      </c>
      <c r="W9" s="563" t="s">
        <v>556</v>
      </c>
      <c r="X9" s="583">
        <v>1.2271300000000001</v>
      </c>
      <c r="Y9" s="563" t="s">
        <v>556</v>
      </c>
      <c r="Z9" s="582">
        <v>0.15</v>
      </c>
      <c r="AA9" s="563">
        <v>0</v>
      </c>
      <c r="AC9" s="587" t="s">
        <v>568</v>
      </c>
      <c r="AD9" s="584">
        <v>15280.95</v>
      </c>
      <c r="AE9" s="584">
        <v>2102.5353749999999</v>
      </c>
      <c r="AF9" s="563">
        <v>13178.414625000001</v>
      </c>
      <c r="AG9" s="583">
        <v>1.3147200000000001</v>
      </c>
      <c r="AH9" s="563">
        <v>10023.742412833151</v>
      </c>
      <c r="AI9" s="582">
        <v>0.15</v>
      </c>
      <c r="AJ9" s="563">
        <v>1503.5613619249727</v>
      </c>
      <c r="AL9" s="586" t="s">
        <v>568</v>
      </c>
      <c r="AM9" s="584">
        <v>41551.61</v>
      </c>
      <c r="AN9" s="584">
        <v>5786.1044249999995</v>
      </c>
      <c r="AO9" s="563">
        <v>35765.505575000003</v>
      </c>
      <c r="AP9" s="583">
        <v>1.45547</v>
      </c>
      <c r="AQ9" s="563">
        <v>24573.165764323552</v>
      </c>
      <c r="AR9" s="582">
        <v>0.15</v>
      </c>
      <c r="AS9" s="563">
        <v>3685.9748646485327</v>
      </c>
      <c r="AU9" s="586" t="s">
        <v>568</v>
      </c>
      <c r="AV9" s="584">
        <v>73038.009999999995</v>
      </c>
      <c r="AW9" s="584">
        <v>9388.7499250000001</v>
      </c>
      <c r="AX9" s="563">
        <v>63649.260074999998</v>
      </c>
      <c r="AY9" s="583">
        <v>1.5334000000000001</v>
      </c>
      <c r="AZ9" s="563">
        <v>41508.582284465891</v>
      </c>
      <c r="BA9" s="582">
        <v>0.15</v>
      </c>
      <c r="BB9" s="563">
        <v>6226.2873426698834</v>
      </c>
      <c r="BD9" s="585" t="s">
        <v>568</v>
      </c>
      <c r="BE9" s="584">
        <v>130615.41</v>
      </c>
      <c r="BF9" s="584">
        <v>17609.218925000001</v>
      </c>
      <c r="BG9" s="563">
        <v>113006.19107500001</v>
      </c>
      <c r="BH9" s="583">
        <v>1.57718</v>
      </c>
      <c r="BI9" s="563">
        <v>71650.788797093555</v>
      </c>
      <c r="BJ9" s="582">
        <v>0.15</v>
      </c>
      <c r="BK9" s="563">
        <v>10747.618319564033</v>
      </c>
      <c r="BM9" s="585" t="s">
        <v>568</v>
      </c>
      <c r="BN9" s="584">
        <v>82456.75</v>
      </c>
      <c r="BO9" s="584">
        <v>10724.734375</v>
      </c>
      <c r="BP9" s="563">
        <f>BN9-BO9</f>
        <v>71732.015625</v>
      </c>
      <c r="BQ9" s="583">
        <f>'Série Histórica IPCA'!J373</f>
        <v>1.6367419529218339</v>
      </c>
      <c r="BR9" s="631">
        <f>BP9/BQ9</f>
        <v>43826.099463600491</v>
      </c>
      <c r="BS9" s="582">
        <v>0.15</v>
      </c>
      <c r="BT9" s="563">
        <f>BR9*BS9</f>
        <v>6573.9149195400732</v>
      </c>
      <c r="BV9" s="585" t="s">
        <v>568</v>
      </c>
      <c r="BW9" s="584">
        <v>107455.0175</v>
      </c>
      <c r="BX9" s="584">
        <v>8197.502638750002</v>
      </c>
      <c r="BY9" s="563">
        <f t="shared" ref="BY9:BY15" si="0">BW9-BX9</f>
        <v>99257.514861250005</v>
      </c>
      <c r="BZ9" s="583">
        <f>'Série Histórica IPCA'!J386</f>
        <v>1.7053504313419421</v>
      </c>
      <c r="CA9" s="631">
        <f>BY9/BZ9</f>
        <v>58203.588562817647</v>
      </c>
      <c r="CB9" s="582">
        <v>0.15</v>
      </c>
      <c r="CC9" s="563">
        <f>CA9*CB9</f>
        <v>8730.538284422646</v>
      </c>
      <c r="CE9" s="585" t="s">
        <v>568</v>
      </c>
      <c r="CF9" s="584">
        <v>85840.37000000001</v>
      </c>
      <c r="CG9" s="584">
        <v>7425.1920050000008</v>
      </c>
      <c r="CH9" s="563">
        <f>CF9-CG9</f>
        <v>78415.177995000005</v>
      </c>
      <c r="CI9" s="583">
        <f>'Série Histórica IPCA'!J399</f>
        <v>1.7831007360161726</v>
      </c>
      <c r="CJ9" s="774">
        <f>CH9/CI9</f>
        <v>43976.863679724702</v>
      </c>
      <c r="CK9" s="582">
        <v>0.15</v>
      </c>
      <c r="CL9" s="563">
        <f t="shared" ref="CL9:CL20" si="1">CJ9*CK9</f>
        <v>6596.5295519587053</v>
      </c>
      <c r="CN9" s="585" t="s">
        <v>568</v>
      </c>
      <c r="CO9" s="584">
        <v>186436.31</v>
      </c>
      <c r="CP9" s="584">
        <v>16126.740814999999</v>
      </c>
      <c r="CQ9" s="563">
        <f>CO9-CP9</f>
        <v>170309.569185</v>
      </c>
      <c r="CR9" s="583">
        <v>1.9681763368081655</v>
      </c>
      <c r="CS9" s="563">
        <f>CQ9/CR9</f>
        <v>86531.661823144736</v>
      </c>
      <c r="CT9" s="582">
        <v>0.15</v>
      </c>
      <c r="CU9" s="563">
        <f>CS9*CT9</f>
        <v>12979.749273471711</v>
      </c>
      <c r="CW9" s="585" t="s">
        <v>568</v>
      </c>
      <c r="CX9" s="584">
        <v>242378.17</v>
      </c>
      <c r="CY9" s="584">
        <v>20965.711704999998</v>
      </c>
      <c r="CZ9" s="563">
        <f>CX9-CY9</f>
        <v>221412.45829500002</v>
      </c>
      <c r="DA9" s="583">
        <v>2.0818286211451911</v>
      </c>
      <c r="DB9" s="563">
        <f>CZ9/DA9</f>
        <v>106354.79599334332</v>
      </c>
      <c r="DC9" s="582">
        <v>0.15</v>
      </c>
      <c r="DD9" s="563">
        <f>DB9*DC9</f>
        <v>15953.219399001497</v>
      </c>
      <c r="DF9" s="585" t="s">
        <v>568</v>
      </c>
      <c r="DG9" s="584">
        <v>182418.01</v>
      </c>
      <c r="DH9" s="584">
        <f>DG9*8.65%</f>
        <v>15779.157865000003</v>
      </c>
      <c r="DI9" s="563">
        <f>DG9-DH9</f>
        <v>166638.85213499999</v>
      </c>
      <c r="DJ9" s="583">
        <v>2.1756522907343849</v>
      </c>
      <c r="DK9" s="877">
        <f t="shared" ref="DK9:DK18" si="2">DI9/DJ9</f>
        <v>76592.593791148291</v>
      </c>
      <c r="DL9" s="582">
        <v>0.15</v>
      </c>
      <c r="DM9" s="563">
        <f t="shared" ref="DM9:DM18" si="3">DK9*DL9</f>
        <v>11488.889068672243</v>
      </c>
      <c r="DO9" s="585" t="s">
        <v>568</v>
      </c>
      <c r="DP9" s="584"/>
      <c r="DQ9" s="584" t="s">
        <v>556</v>
      </c>
      <c r="DR9" s="563" t="s">
        <v>556</v>
      </c>
      <c r="DS9" s="583">
        <v>0</v>
      </c>
      <c r="DT9" s="563" t="s">
        <v>556</v>
      </c>
      <c r="DU9" s="582">
        <v>0.15</v>
      </c>
      <c r="DV9" s="563">
        <v>0</v>
      </c>
      <c r="DX9" s="585" t="s">
        <v>568</v>
      </c>
      <c r="DY9" s="584"/>
      <c r="DZ9" s="584" t="s">
        <v>556</v>
      </c>
      <c r="EA9" s="563" t="s">
        <v>556</v>
      </c>
      <c r="EB9" s="583">
        <v>0</v>
      </c>
      <c r="EC9" s="563" t="s">
        <v>556</v>
      </c>
      <c r="ED9" s="582">
        <v>0.15</v>
      </c>
      <c r="EE9" s="563">
        <v>0</v>
      </c>
      <c r="EG9" s="585" t="s">
        <v>568</v>
      </c>
      <c r="EH9" s="584"/>
      <c r="EI9" s="584" t="s">
        <v>556</v>
      </c>
      <c r="EJ9" s="563" t="s">
        <v>556</v>
      </c>
      <c r="EK9" s="583">
        <v>0</v>
      </c>
      <c r="EL9" s="563" t="s">
        <v>556</v>
      </c>
      <c r="EM9" s="582">
        <v>0.15</v>
      </c>
      <c r="EN9" s="563">
        <v>0</v>
      </c>
      <c r="EP9" s="585" t="s">
        <v>568</v>
      </c>
      <c r="EQ9" s="584"/>
      <c r="ER9" s="584" t="s">
        <v>556</v>
      </c>
      <c r="ES9" s="563" t="s">
        <v>556</v>
      </c>
      <c r="ET9" s="583">
        <v>0</v>
      </c>
      <c r="EU9" s="563" t="s">
        <v>556</v>
      </c>
      <c r="EV9" s="582">
        <v>0.15</v>
      </c>
      <c r="EW9" s="563">
        <v>0</v>
      </c>
      <c r="EY9" s="585" t="s">
        <v>568</v>
      </c>
      <c r="EZ9" s="584"/>
      <c r="FA9" s="584" t="s">
        <v>556</v>
      </c>
      <c r="FB9" s="563" t="s">
        <v>556</v>
      </c>
      <c r="FC9" s="583">
        <v>0</v>
      </c>
      <c r="FD9" s="563" t="s">
        <v>556</v>
      </c>
      <c r="FE9" s="582">
        <v>0.15</v>
      </c>
      <c r="FF9" s="563">
        <v>0</v>
      </c>
      <c r="FH9" s="585" t="s">
        <v>568</v>
      </c>
      <c r="FI9" s="584"/>
      <c r="FJ9" s="584" t="s">
        <v>556</v>
      </c>
      <c r="FK9" s="563" t="s">
        <v>556</v>
      </c>
      <c r="FL9" s="583">
        <v>0</v>
      </c>
      <c r="FM9" s="563" t="s">
        <v>556</v>
      </c>
      <c r="FN9" s="582">
        <v>0.15</v>
      </c>
      <c r="FO9" s="563">
        <v>0</v>
      </c>
      <c r="FQ9" s="585" t="s">
        <v>568</v>
      </c>
      <c r="FR9" s="584"/>
      <c r="FS9" s="584" t="s">
        <v>556</v>
      </c>
      <c r="FT9" s="563" t="s">
        <v>556</v>
      </c>
      <c r="FU9" s="583">
        <v>0</v>
      </c>
      <c r="FV9" s="563" t="s">
        <v>556</v>
      </c>
      <c r="FW9" s="582">
        <v>0.15</v>
      </c>
      <c r="FX9" s="563">
        <v>0</v>
      </c>
      <c r="FZ9" s="585" t="s">
        <v>568</v>
      </c>
      <c r="GA9" s="584"/>
      <c r="GB9" s="584" t="s">
        <v>556</v>
      </c>
      <c r="GC9" s="563" t="s">
        <v>556</v>
      </c>
      <c r="GD9" s="583">
        <v>0</v>
      </c>
      <c r="GE9" s="563" t="s">
        <v>556</v>
      </c>
      <c r="GF9" s="582">
        <v>0.15</v>
      </c>
      <c r="GG9" s="563">
        <v>0</v>
      </c>
      <c r="GI9" s="585" t="s">
        <v>568</v>
      </c>
      <c r="GJ9" s="584"/>
      <c r="GK9" s="584" t="s">
        <v>556</v>
      </c>
      <c r="GL9" s="563" t="s">
        <v>556</v>
      </c>
      <c r="GM9" s="583">
        <v>0</v>
      </c>
      <c r="GN9" s="563" t="s">
        <v>556</v>
      </c>
      <c r="GO9" s="582">
        <v>0.15</v>
      </c>
      <c r="GP9" s="563">
        <v>0</v>
      </c>
      <c r="GR9" s="585" t="s">
        <v>568</v>
      </c>
      <c r="GS9" s="584"/>
      <c r="GT9" s="584" t="s">
        <v>556</v>
      </c>
      <c r="GU9" s="563" t="s">
        <v>556</v>
      </c>
      <c r="GV9" s="583">
        <v>0</v>
      </c>
      <c r="GW9" s="563" t="s">
        <v>556</v>
      </c>
      <c r="GX9" s="582">
        <v>0.15</v>
      </c>
      <c r="GY9" s="563">
        <v>0</v>
      </c>
      <c r="HA9" s="585" t="s">
        <v>568</v>
      </c>
      <c r="HB9" s="584"/>
      <c r="HC9" s="584" t="s">
        <v>556</v>
      </c>
      <c r="HD9" s="563" t="s">
        <v>556</v>
      </c>
      <c r="HE9" s="583">
        <v>0</v>
      </c>
      <c r="HF9" s="563" t="s">
        <v>556</v>
      </c>
      <c r="HG9" s="582">
        <v>0.15</v>
      </c>
      <c r="HH9" s="563">
        <v>0</v>
      </c>
      <c r="HJ9" s="585" t="s">
        <v>568</v>
      </c>
      <c r="HK9" s="584"/>
      <c r="HL9" s="584" t="s">
        <v>556</v>
      </c>
      <c r="HM9" s="563" t="s">
        <v>556</v>
      </c>
      <c r="HN9" s="583">
        <v>0</v>
      </c>
      <c r="HO9" s="563" t="s">
        <v>556</v>
      </c>
      <c r="HP9" s="582">
        <v>0.15</v>
      </c>
      <c r="HQ9" s="563">
        <v>0</v>
      </c>
      <c r="HS9" s="585" t="s">
        <v>568</v>
      </c>
      <c r="HT9" s="584"/>
      <c r="HU9" s="584" t="s">
        <v>556</v>
      </c>
      <c r="HV9" s="563" t="s">
        <v>556</v>
      </c>
      <c r="HW9" s="583">
        <v>0</v>
      </c>
      <c r="HX9" s="563" t="s">
        <v>556</v>
      </c>
      <c r="HY9" s="582">
        <v>0.15</v>
      </c>
      <c r="HZ9" s="563">
        <v>0</v>
      </c>
      <c r="IB9" s="585" t="s">
        <v>568</v>
      </c>
      <c r="IC9" s="584"/>
      <c r="ID9" s="584" t="s">
        <v>556</v>
      </c>
      <c r="IE9" s="563" t="s">
        <v>556</v>
      </c>
      <c r="IF9" s="583">
        <v>0</v>
      </c>
      <c r="IG9" s="563" t="s">
        <v>556</v>
      </c>
      <c r="IH9" s="582">
        <v>0.15</v>
      </c>
      <c r="II9" s="563">
        <v>0</v>
      </c>
      <c r="IK9" s="585" t="s">
        <v>568</v>
      </c>
      <c r="IL9" s="584"/>
      <c r="IM9" s="584" t="s">
        <v>556</v>
      </c>
      <c r="IN9" s="563" t="s">
        <v>556</v>
      </c>
      <c r="IO9" s="583">
        <v>0</v>
      </c>
      <c r="IP9" s="563" t="s">
        <v>556</v>
      </c>
      <c r="IQ9" s="582">
        <v>0.15</v>
      </c>
      <c r="IR9" s="563">
        <v>0</v>
      </c>
      <c r="IT9" s="585" t="s">
        <v>568</v>
      </c>
      <c r="IU9" s="584"/>
      <c r="IV9" s="584" t="s">
        <v>556</v>
      </c>
      <c r="IW9" s="563" t="s">
        <v>556</v>
      </c>
      <c r="IX9" s="583">
        <v>0</v>
      </c>
      <c r="IY9" s="563" t="s">
        <v>556</v>
      </c>
      <c r="IZ9" s="582">
        <v>0.15</v>
      </c>
      <c r="JA9" s="563">
        <v>0</v>
      </c>
      <c r="JC9" s="585" t="s">
        <v>568</v>
      </c>
      <c r="JD9" s="584"/>
      <c r="JE9" s="584" t="s">
        <v>556</v>
      </c>
      <c r="JF9" s="563" t="s">
        <v>556</v>
      </c>
      <c r="JG9" s="583">
        <v>0</v>
      </c>
      <c r="JH9" s="563" t="s">
        <v>556</v>
      </c>
      <c r="JI9" s="582">
        <v>0.15</v>
      </c>
      <c r="JJ9" s="563">
        <v>0</v>
      </c>
      <c r="JL9" s="585" t="s">
        <v>568</v>
      </c>
      <c r="JM9" s="584"/>
      <c r="JN9" s="584" t="s">
        <v>556</v>
      </c>
      <c r="JO9" s="563" t="s">
        <v>556</v>
      </c>
      <c r="JP9" s="583">
        <v>0</v>
      </c>
      <c r="JQ9" s="563" t="s">
        <v>556</v>
      </c>
      <c r="JR9" s="582">
        <v>0.15</v>
      </c>
      <c r="JS9" s="563">
        <v>0</v>
      </c>
      <c r="JU9" s="585" t="s">
        <v>568</v>
      </c>
      <c r="JV9" s="584"/>
      <c r="JW9" s="584" t="s">
        <v>556</v>
      </c>
      <c r="JX9" s="563" t="s">
        <v>556</v>
      </c>
      <c r="JY9" s="583">
        <v>0</v>
      </c>
      <c r="JZ9" s="563" t="s">
        <v>556</v>
      </c>
      <c r="KA9" s="582">
        <v>0.15</v>
      </c>
      <c r="KB9" s="563">
        <v>0</v>
      </c>
      <c r="KD9" s="585" t="s">
        <v>568</v>
      </c>
      <c r="KE9" s="584"/>
      <c r="KF9" s="584" t="s">
        <v>556</v>
      </c>
      <c r="KG9" s="563" t="s">
        <v>556</v>
      </c>
      <c r="KH9" s="583">
        <v>0</v>
      </c>
      <c r="KI9" s="563" t="s">
        <v>556</v>
      </c>
      <c r="KJ9" s="582">
        <v>0.15</v>
      </c>
      <c r="KK9" s="563">
        <v>0</v>
      </c>
      <c r="KM9" s="585" t="s">
        <v>568</v>
      </c>
      <c r="KN9" s="584"/>
      <c r="KO9" s="584" t="s">
        <v>556</v>
      </c>
      <c r="KP9" s="563" t="s">
        <v>556</v>
      </c>
      <c r="KQ9" s="583">
        <v>0</v>
      </c>
      <c r="KR9" s="563" t="s">
        <v>556</v>
      </c>
      <c r="KS9" s="582">
        <v>0.15</v>
      </c>
      <c r="KT9" s="563">
        <v>0</v>
      </c>
      <c r="KV9" s="585" t="s">
        <v>568</v>
      </c>
      <c r="KW9" s="584"/>
      <c r="KX9" s="584" t="s">
        <v>556</v>
      </c>
      <c r="KY9" s="563" t="s">
        <v>556</v>
      </c>
      <c r="KZ9" s="583">
        <v>0</v>
      </c>
      <c r="LA9" s="563" t="s">
        <v>556</v>
      </c>
      <c r="LB9" s="582">
        <v>0.15</v>
      </c>
      <c r="LC9" s="563">
        <v>0</v>
      </c>
    </row>
    <row r="10" spans="2:315">
      <c r="B10" s="585" t="s">
        <v>567</v>
      </c>
      <c r="C10" s="584"/>
      <c r="D10" s="584" t="s">
        <v>556</v>
      </c>
      <c r="E10" s="563" t="s">
        <v>556</v>
      </c>
      <c r="F10" s="583">
        <v>1.0997699999999999</v>
      </c>
      <c r="G10" s="563" t="s">
        <v>556</v>
      </c>
      <c r="H10" s="582">
        <v>0.15</v>
      </c>
      <c r="I10" s="563">
        <v>0</v>
      </c>
      <c r="K10" s="585" t="s">
        <v>567</v>
      </c>
      <c r="L10" s="584"/>
      <c r="M10" s="584" t="s">
        <v>556</v>
      </c>
      <c r="N10" s="563" t="s">
        <v>556</v>
      </c>
      <c r="O10" s="583">
        <v>1.16919</v>
      </c>
      <c r="P10" s="563" t="s">
        <v>556</v>
      </c>
      <c r="Q10" s="582">
        <v>0.15</v>
      </c>
      <c r="R10" s="563">
        <v>0</v>
      </c>
      <c r="T10" s="585" t="s">
        <v>567</v>
      </c>
      <c r="U10" s="584"/>
      <c r="V10" s="584" t="s">
        <v>556</v>
      </c>
      <c r="W10" s="563" t="s">
        <v>556</v>
      </c>
      <c r="X10" s="583">
        <v>1.2356</v>
      </c>
      <c r="Y10" s="563" t="s">
        <v>556</v>
      </c>
      <c r="Z10" s="582">
        <v>0.15</v>
      </c>
      <c r="AA10" s="563">
        <v>0</v>
      </c>
      <c r="AC10" s="587" t="s">
        <v>567</v>
      </c>
      <c r="AD10" s="584">
        <v>34829.630000000005</v>
      </c>
      <c r="AE10" s="584">
        <v>4888.2222750000001</v>
      </c>
      <c r="AF10" s="563">
        <v>29941.407725000005</v>
      </c>
      <c r="AG10" s="583">
        <v>1.3307599999999999</v>
      </c>
      <c r="AH10" s="563">
        <v>22499.479789744211</v>
      </c>
      <c r="AI10" s="582">
        <v>0.15</v>
      </c>
      <c r="AJ10" s="563">
        <v>3374.9219684616314</v>
      </c>
      <c r="AL10" s="586" t="s">
        <v>567</v>
      </c>
      <c r="AM10" s="584">
        <v>43307.88</v>
      </c>
      <c r="AN10" s="584">
        <v>6036.3728999999994</v>
      </c>
      <c r="AO10" s="563">
        <v>37271.507099999995</v>
      </c>
      <c r="AP10" s="583">
        <v>1.4685699999999999</v>
      </c>
      <c r="AQ10" s="563">
        <v>25379.455592855633</v>
      </c>
      <c r="AR10" s="582">
        <v>0.15</v>
      </c>
      <c r="AS10" s="563">
        <v>3806.9183389283448</v>
      </c>
      <c r="AU10" s="586" t="s">
        <v>567</v>
      </c>
      <c r="AV10" s="584">
        <v>54939.780000000006</v>
      </c>
      <c r="AW10" s="584">
        <v>6869.7521500000003</v>
      </c>
      <c r="AX10" s="563">
        <v>48070.027850000006</v>
      </c>
      <c r="AY10" s="583">
        <v>1.5384599999999999</v>
      </c>
      <c r="AZ10" s="563">
        <v>31245.549348049353</v>
      </c>
      <c r="BA10" s="582">
        <v>0.15</v>
      </c>
      <c r="BB10" s="563">
        <v>4686.832402207403</v>
      </c>
      <c r="BD10" s="585" t="s">
        <v>567</v>
      </c>
      <c r="BE10" s="584">
        <v>82908.47</v>
      </c>
      <c r="BF10" s="584">
        <v>10810.977475</v>
      </c>
      <c r="BG10" s="563">
        <v>72097.492525000009</v>
      </c>
      <c r="BH10" s="583">
        <v>1.58223</v>
      </c>
      <c r="BI10" s="563">
        <v>45567.011449030804</v>
      </c>
      <c r="BJ10" s="582">
        <v>0.15</v>
      </c>
      <c r="BK10" s="563">
        <v>6835.0517173546205</v>
      </c>
      <c r="BM10" s="585" t="s">
        <v>567</v>
      </c>
      <c r="BN10" s="584">
        <v>85523.049999999988</v>
      </c>
      <c r="BO10" s="584">
        <v>11161.682124999999</v>
      </c>
      <c r="BP10" s="563">
        <f t="shared" ref="BP10:BP20" si="4">BN10-BO10</f>
        <v>74361.367874999996</v>
      </c>
      <c r="BQ10" s="583">
        <f>'Série Histórica IPCA'!J374</f>
        <v>1.643779048008982</v>
      </c>
      <c r="BR10" s="631">
        <f t="shared" ref="BR10:BR20" si="5">BP10/BQ10</f>
        <v>45238.05554345627</v>
      </c>
      <c r="BS10" s="582">
        <v>0.15</v>
      </c>
      <c r="BT10" s="563">
        <f t="shared" ref="BT10:BT20" si="6">BR10*BS10</f>
        <v>6785.70833151844</v>
      </c>
      <c r="BV10" s="585" t="s">
        <v>567</v>
      </c>
      <c r="BW10" s="584">
        <v>96236.687499999985</v>
      </c>
      <c r="BX10" s="584">
        <v>7227.1170937500001</v>
      </c>
      <c r="BY10" s="563">
        <f t="shared" si="0"/>
        <v>89009.570406249986</v>
      </c>
      <c r="BZ10" s="583">
        <f>'Série Histórica IPCA'!J387</f>
        <v>1.7096142712288367</v>
      </c>
      <c r="CA10" s="631">
        <f t="shared" ref="CA10:CA12" si="7">BY10/BZ10</f>
        <v>52064.124583068486</v>
      </c>
      <c r="CB10" s="582">
        <v>0.15</v>
      </c>
      <c r="CC10" s="563">
        <f t="shared" ref="CC10:CC16" si="8">CA10*CB10</f>
        <v>7809.6186874602727</v>
      </c>
      <c r="CE10" s="585" t="s">
        <v>567</v>
      </c>
      <c r="CF10" s="584">
        <v>114780.51</v>
      </c>
      <c r="CG10" s="584">
        <v>9928.5141150000018</v>
      </c>
      <c r="CH10" s="563">
        <f t="shared" ref="CH10:CH20" si="9">CF10-CG10</f>
        <v>104851.995885</v>
      </c>
      <c r="CI10" s="583">
        <f>'Série Histórica IPCA'!J400</f>
        <v>1.7984352059469852</v>
      </c>
      <c r="CJ10" s="774">
        <f>CH10/CI10</f>
        <v>58301.792323838024</v>
      </c>
      <c r="CK10" s="582">
        <v>0.15</v>
      </c>
      <c r="CL10" s="563">
        <f t="shared" si="1"/>
        <v>8745.2688485757026</v>
      </c>
      <c r="CN10" s="585" t="s">
        <v>567</v>
      </c>
      <c r="CO10" s="584">
        <v>103844.79999999999</v>
      </c>
      <c r="CP10" s="584">
        <v>8982.5751999999975</v>
      </c>
      <c r="CQ10" s="563">
        <f t="shared" ref="CQ10:CQ21" si="10">CO10-CP10</f>
        <v>94862.224799999996</v>
      </c>
      <c r="CR10" s="583">
        <v>1.9880561304293587</v>
      </c>
      <c r="CS10" s="563">
        <f t="shared" ref="CS10:CS20" si="11">CQ10/CR10</f>
        <v>47716.069656198633</v>
      </c>
      <c r="CT10" s="582">
        <v>0.15</v>
      </c>
      <c r="CU10" s="563">
        <f t="shared" ref="CU10:CU20" si="12">CS10*CT10</f>
        <v>7157.410448429795</v>
      </c>
      <c r="CW10" s="585" t="s">
        <v>567</v>
      </c>
      <c r="CX10" s="584">
        <v>95739.9</v>
      </c>
      <c r="CY10" s="584">
        <v>8281.5013499999986</v>
      </c>
      <c r="CZ10" s="563">
        <f t="shared" ref="CZ10:CZ20" si="13">CX10-CY10</f>
        <v>87458.398649999988</v>
      </c>
      <c r="DA10" s="583">
        <v>2.0993158024367542</v>
      </c>
      <c r="DB10" s="563">
        <f t="shared" ref="DB10:DB18" si="14">CZ10/DA10</f>
        <v>41660.429816459131</v>
      </c>
      <c r="DC10" s="582">
        <v>0.15</v>
      </c>
      <c r="DD10" s="563">
        <f t="shared" ref="DD10:DD18" si="15">DB10*DC10</f>
        <v>6249.0644724688691</v>
      </c>
      <c r="DF10" s="585" t="s">
        <v>567</v>
      </c>
      <c r="DG10" s="584">
        <v>40711.26</v>
      </c>
      <c r="DH10" s="584">
        <f>DG10*8.65%</f>
        <v>3521.5239900000006</v>
      </c>
      <c r="DI10" s="563">
        <f t="shared" ref="DI10:DI18" si="16">DG10-DH10</f>
        <v>37189.736010000001</v>
      </c>
      <c r="DJ10" s="583">
        <v>2.1937088369920899</v>
      </c>
      <c r="DK10" s="877">
        <f t="shared" si="2"/>
        <v>16952.904315685217</v>
      </c>
      <c r="DL10" s="582">
        <v>0.15</v>
      </c>
      <c r="DM10" s="563">
        <f t="shared" si="3"/>
        <v>2542.9356473527823</v>
      </c>
      <c r="DO10" s="585" t="s">
        <v>567</v>
      </c>
      <c r="DP10" s="584"/>
      <c r="DQ10" s="584" t="s">
        <v>556</v>
      </c>
      <c r="DR10" s="563" t="s">
        <v>556</v>
      </c>
      <c r="DS10" s="583">
        <v>0</v>
      </c>
      <c r="DT10" s="563" t="s">
        <v>556</v>
      </c>
      <c r="DU10" s="582">
        <v>0.15</v>
      </c>
      <c r="DV10" s="563">
        <v>0</v>
      </c>
      <c r="DX10" s="585" t="s">
        <v>567</v>
      </c>
      <c r="DY10" s="584"/>
      <c r="DZ10" s="584" t="s">
        <v>556</v>
      </c>
      <c r="EA10" s="563" t="s">
        <v>556</v>
      </c>
      <c r="EB10" s="583">
        <v>0</v>
      </c>
      <c r="EC10" s="563" t="s">
        <v>556</v>
      </c>
      <c r="ED10" s="582">
        <v>0.15</v>
      </c>
      <c r="EE10" s="563">
        <v>0</v>
      </c>
      <c r="EG10" s="585" t="s">
        <v>567</v>
      </c>
      <c r="EH10" s="584"/>
      <c r="EI10" s="584" t="s">
        <v>556</v>
      </c>
      <c r="EJ10" s="563" t="s">
        <v>556</v>
      </c>
      <c r="EK10" s="583">
        <v>0</v>
      </c>
      <c r="EL10" s="563" t="s">
        <v>556</v>
      </c>
      <c r="EM10" s="582">
        <v>0.15</v>
      </c>
      <c r="EN10" s="563">
        <v>0</v>
      </c>
      <c r="EP10" s="585" t="s">
        <v>567</v>
      </c>
      <c r="EQ10" s="584"/>
      <c r="ER10" s="584" t="s">
        <v>556</v>
      </c>
      <c r="ES10" s="563" t="s">
        <v>556</v>
      </c>
      <c r="ET10" s="583">
        <v>0</v>
      </c>
      <c r="EU10" s="563" t="s">
        <v>556</v>
      </c>
      <c r="EV10" s="582">
        <v>0.15</v>
      </c>
      <c r="EW10" s="563">
        <v>0</v>
      </c>
      <c r="EY10" s="585" t="s">
        <v>567</v>
      </c>
      <c r="EZ10" s="584"/>
      <c r="FA10" s="584" t="s">
        <v>556</v>
      </c>
      <c r="FB10" s="563" t="s">
        <v>556</v>
      </c>
      <c r="FC10" s="583">
        <v>0</v>
      </c>
      <c r="FD10" s="563" t="s">
        <v>556</v>
      </c>
      <c r="FE10" s="582">
        <v>0.15</v>
      </c>
      <c r="FF10" s="563">
        <v>0</v>
      </c>
      <c r="FH10" s="585" t="s">
        <v>567</v>
      </c>
      <c r="FI10" s="584"/>
      <c r="FJ10" s="584" t="s">
        <v>556</v>
      </c>
      <c r="FK10" s="563" t="s">
        <v>556</v>
      </c>
      <c r="FL10" s="583">
        <v>0</v>
      </c>
      <c r="FM10" s="563" t="s">
        <v>556</v>
      </c>
      <c r="FN10" s="582">
        <v>0.15</v>
      </c>
      <c r="FO10" s="563">
        <v>0</v>
      </c>
      <c r="FQ10" s="585" t="s">
        <v>567</v>
      </c>
      <c r="FR10" s="584"/>
      <c r="FS10" s="584" t="s">
        <v>556</v>
      </c>
      <c r="FT10" s="563" t="s">
        <v>556</v>
      </c>
      <c r="FU10" s="583">
        <v>0</v>
      </c>
      <c r="FV10" s="563" t="s">
        <v>556</v>
      </c>
      <c r="FW10" s="582">
        <v>0.15</v>
      </c>
      <c r="FX10" s="563">
        <v>0</v>
      </c>
      <c r="FZ10" s="585" t="s">
        <v>567</v>
      </c>
      <c r="GA10" s="584"/>
      <c r="GB10" s="584" t="s">
        <v>556</v>
      </c>
      <c r="GC10" s="563" t="s">
        <v>556</v>
      </c>
      <c r="GD10" s="583">
        <v>0</v>
      </c>
      <c r="GE10" s="563" t="s">
        <v>556</v>
      </c>
      <c r="GF10" s="582">
        <v>0.15</v>
      </c>
      <c r="GG10" s="563">
        <v>0</v>
      </c>
      <c r="GI10" s="585" t="s">
        <v>567</v>
      </c>
      <c r="GJ10" s="584"/>
      <c r="GK10" s="584" t="s">
        <v>556</v>
      </c>
      <c r="GL10" s="563" t="s">
        <v>556</v>
      </c>
      <c r="GM10" s="583">
        <v>0</v>
      </c>
      <c r="GN10" s="563" t="s">
        <v>556</v>
      </c>
      <c r="GO10" s="582">
        <v>0.15</v>
      </c>
      <c r="GP10" s="563">
        <v>0</v>
      </c>
      <c r="GR10" s="585" t="s">
        <v>567</v>
      </c>
      <c r="GS10" s="584"/>
      <c r="GT10" s="584" t="s">
        <v>556</v>
      </c>
      <c r="GU10" s="563" t="s">
        <v>556</v>
      </c>
      <c r="GV10" s="583">
        <v>0</v>
      </c>
      <c r="GW10" s="563" t="s">
        <v>556</v>
      </c>
      <c r="GX10" s="582">
        <v>0.15</v>
      </c>
      <c r="GY10" s="563">
        <v>0</v>
      </c>
      <c r="HA10" s="585" t="s">
        <v>567</v>
      </c>
      <c r="HB10" s="584"/>
      <c r="HC10" s="584" t="s">
        <v>556</v>
      </c>
      <c r="HD10" s="563" t="s">
        <v>556</v>
      </c>
      <c r="HE10" s="583">
        <v>0</v>
      </c>
      <c r="HF10" s="563" t="s">
        <v>556</v>
      </c>
      <c r="HG10" s="582">
        <v>0.15</v>
      </c>
      <c r="HH10" s="563">
        <v>0</v>
      </c>
      <c r="HJ10" s="585" t="s">
        <v>567</v>
      </c>
      <c r="HK10" s="584"/>
      <c r="HL10" s="584" t="s">
        <v>556</v>
      </c>
      <c r="HM10" s="563" t="s">
        <v>556</v>
      </c>
      <c r="HN10" s="583">
        <v>0</v>
      </c>
      <c r="HO10" s="563" t="s">
        <v>556</v>
      </c>
      <c r="HP10" s="582">
        <v>0.15</v>
      </c>
      <c r="HQ10" s="563">
        <v>0</v>
      </c>
      <c r="HS10" s="585" t="s">
        <v>567</v>
      </c>
      <c r="HT10" s="584"/>
      <c r="HU10" s="584" t="s">
        <v>556</v>
      </c>
      <c r="HV10" s="563" t="s">
        <v>556</v>
      </c>
      <c r="HW10" s="583">
        <v>0</v>
      </c>
      <c r="HX10" s="563" t="s">
        <v>556</v>
      </c>
      <c r="HY10" s="582">
        <v>0.15</v>
      </c>
      <c r="HZ10" s="563">
        <v>0</v>
      </c>
      <c r="IB10" s="585" t="s">
        <v>567</v>
      </c>
      <c r="IC10" s="584"/>
      <c r="ID10" s="584" t="s">
        <v>556</v>
      </c>
      <c r="IE10" s="563" t="s">
        <v>556</v>
      </c>
      <c r="IF10" s="583">
        <v>0</v>
      </c>
      <c r="IG10" s="563" t="s">
        <v>556</v>
      </c>
      <c r="IH10" s="582">
        <v>0.15</v>
      </c>
      <c r="II10" s="563">
        <v>0</v>
      </c>
      <c r="IK10" s="585" t="s">
        <v>567</v>
      </c>
      <c r="IL10" s="584"/>
      <c r="IM10" s="584" t="s">
        <v>556</v>
      </c>
      <c r="IN10" s="563" t="s">
        <v>556</v>
      </c>
      <c r="IO10" s="583">
        <v>0</v>
      </c>
      <c r="IP10" s="563" t="s">
        <v>556</v>
      </c>
      <c r="IQ10" s="582">
        <v>0.15</v>
      </c>
      <c r="IR10" s="563">
        <v>0</v>
      </c>
      <c r="IT10" s="585" t="s">
        <v>567</v>
      </c>
      <c r="IU10" s="584"/>
      <c r="IV10" s="584" t="s">
        <v>556</v>
      </c>
      <c r="IW10" s="563" t="s">
        <v>556</v>
      </c>
      <c r="IX10" s="583">
        <v>0</v>
      </c>
      <c r="IY10" s="563" t="s">
        <v>556</v>
      </c>
      <c r="IZ10" s="582">
        <v>0.15</v>
      </c>
      <c r="JA10" s="563">
        <v>0</v>
      </c>
      <c r="JC10" s="585" t="s">
        <v>567</v>
      </c>
      <c r="JD10" s="584"/>
      <c r="JE10" s="584" t="s">
        <v>556</v>
      </c>
      <c r="JF10" s="563" t="s">
        <v>556</v>
      </c>
      <c r="JG10" s="583">
        <v>0</v>
      </c>
      <c r="JH10" s="563" t="s">
        <v>556</v>
      </c>
      <c r="JI10" s="582">
        <v>0.15</v>
      </c>
      <c r="JJ10" s="563">
        <v>0</v>
      </c>
      <c r="JL10" s="585" t="s">
        <v>567</v>
      </c>
      <c r="JM10" s="584"/>
      <c r="JN10" s="584" t="s">
        <v>556</v>
      </c>
      <c r="JO10" s="563" t="s">
        <v>556</v>
      </c>
      <c r="JP10" s="583">
        <v>0</v>
      </c>
      <c r="JQ10" s="563" t="s">
        <v>556</v>
      </c>
      <c r="JR10" s="582">
        <v>0.15</v>
      </c>
      <c r="JS10" s="563">
        <v>0</v>
      </c>
      <c r="JU10" s="585" t="s">
        <v>567</v>
      </c>
      <c r="JV10" s="584"/>
      <c r="JW10" s="584" t="s">
        <v>556</v>
      </c>
      <c r="JX10" s="563" t="s">
        <v>556</v>
      </c>
      <c r="JY10" s="583">
        <v>0</v>
      </c>
      <c r="JZ10" s="563" t="s">
        <v>556</v>
      </c>
      <c r="KA10" s="582">
        <v>0.15</v>
      </c>
      <c r="KB10" s="563">
        <v>0</v>
      </c>
      <c r="KD10" s="585" t="s">
        <v>567</v>
      </c>
      <c r="KE10" s="584"/>
      <c r="KF10" s="584" t="s">
        <v>556</v>
      </c>
      <c r="KG10" s="563" t="s">
        <v>556</v>
      </c>
      <c r="KH10" s="583">
        <v>0</v>
      </c>
      <c r="KI10" s="563" t="s">
        <v>556</v>
      </c>
      <c r="KJ10" s="582">
        <v>0.15</v>
      </c>
      <c r="KK10" s="563">
        <v>0</v>
      </c>
      <c r="KM10" s="585" t="s">
        <v>567</v>
      </c>
      <c r="KN10" s="584"/>
      <c r="KO10" s="584" t="s">
        <v>556</v>
      </c>
      <c r="KP10" s="563" t="s">
        <v>556</v>
      </c>
      <c r="KQ10" s="583">
        <v>0</v>
      </c>
      <c r="KR10" s="563" t="s">
        <v>556</v>
      </c>
      <c r="KS10" s="582">
        <v>0.15</v>
      </c>
      <c r="KT10" s="563">
        <v>0</v>
      </c>
      <c r="KV10" s="585" t="s">
        <v>567</v>
      </c>
      <c r="KW10" s="584"/>
      <c r="KX10" s="584" t="s">
        <v>556</v>
      </c>
      <c r="KY10" s="563" t="s">
        <v>556</v>
      </c>
      <c r="KZ10" s="583">
        <v>0</v>
      </c>
      <c r="LA10" s="563" t="s">
        <v>556</v>
      </c>
      <c r="LB10" s="582">
        <v>0.15</v>
      </c>
      <c r="LC10" s="563">
        <v>0</v>
      </c>
    </row>
    <row r="11" spans="2:315">
      <c r="B11" s="585" t="s">
        <v>566</v>
      </c>
      <c r="C11" s="584"/>
      <c r="D11" s="584" t="s">
        <v>556</v>
      </c>
      <c r="E11" s="563" t="s">
        <v>556</v>
      </c>
      <c r="F11" s="583">
        <v>1.1020799999999999</v>
      </c>
      <c r="G11" s="563" t="s">
        <v>556</v>
      </c>
      <c r="H11" s="582">
        <v>0.15</v>
      </c>
      <c r="I11" s="563">
        <v>0</v>
      </c>
      <c r="K11" s="585" t="s">
        <v>566</v>
      </c>
      <c r="L11" s="584"/>
      <c r="M11" s="584" t="s">
        <v>556</v>
      </c>
      <c r="N11" s="563" t="s">
        <v>556</v>
      </c>
      <c r="O11" s="583">
        <v>1.17469</v>
      </c>
      <c r="P11" s="563" t="s">
        <v>556</v>
      </c>
      <c r="Q11" s="582">
        <v>0.15</v>
      </c>
      <c r="R11" s="563">
        <v>0</v>
      </c>
      <c r="T11" s="587" t="s">
        <v>566</v>
      </c>
      <c r="U11" s="584">
        <v>2250</v>
      </c>
      <c r="V11" s="584">
        <v>320.625</v>
      </c>
      <c r="W11" s="563">
        <v>1929.375</v>
      </c>
      <c r="X11" s="583">
        <v>1.2469699999999999</v>
      </c>
      <c r="Y11" s="563">
        <v>1547.2505352975613</v>
      </c>
      <c r="Z11" s="582">
        <v>0.15</v>
      </c>
      <c r="AA11" s="563">
        <v>232.08758029463419</v>
      </c>
      <c r="AC11" s="587" t="s">
        <v>566</v>
      </c>
      <c r="AD11" s="584">
        <v>61300.999999999993</v>
      </c>
      <c r="AE11" s="584">
        <v>8660.3924999999999</v>
      </c>
      <c r="AF11" s="563">
        <v>52640.607499999991</v>
      </c>
      <c r="AG11" s="583">
        <v>1.34833</v>
      </c>
      <c r="AH11" s="563">
        <v>39041.338173889177</v>
      </c>
      <c r="AI11" s="582">
        <v>0.15</v>
      </c>
      <c r="AJ11" s="563">
        <v>5856.2007260833761</v>
      </c>
      <c r="AL11" s="586" t="s">
        <v>566</v>
      </c>
      <c r="AM11" s="584">
        <v>43159.86</v>
      </c>
      <c r="AN11" s="584">
        <v>6015.2800499999994</v>
      </c>
      <c r="AO11" s="563">
        <v>37144.579949999999</v>
      </c>
      <c r="AP11" s="583">
        <v>1.47489</v>
      </c>
      <c r="AQ11" s="563">
        <v>25184.644244655534</v>
      </c>
      <c r="AR11" s="582">
        <v>0.15</v>
      </c>
      <c r="AS11" s="563">
        <v>3777.6966366983297</v>
      </c>
      <c r="AU11" s="586" t="s">
        <v>566</v>
      </c>
      <c r="AV11" s="584">
        <v>46503.29</v>
      </c>
      <c r="AW11" s="584">
        <v>6491.7188249999999</v>
      </c>
      <c r="AX11" s="563">
        <v>40011.571175000005</v>
      </c>
      <c r="AY11" s="583">
        <v>1.5423</v>
      </c>
      <c r="AZ11" s="563">
        <v>25942.793992738123</v>
      </c>
      <c r="BA11" s="582">
        <v>0.15</v>
      </c>
      <c r="BB11" s="563">
        <v>3891.4190989107183</v>
      </c>
      <c r="BD11" s="585" t="s">
        <v>566</v>
      </c>
      <c r="BE11" s="584">
        <v>80308.650000000023</v>
      </c>
      <c r="BF11" s="584">
        <v>20796.735624999998</v>
      </c>
      <c r="BG11" s="563">
        <v>59511.914375000022</v>
      </c>
      <c r="BH11" s="583">
        <v>1.58365</v>
      </c>
      <c r="BI11" s="563">
        <v>37578.956445553005</v>
      </c>
      <c r="BJ11" s="582">
        <v>0.15</v>
      </c>
      <c r="BK11" s="563">
        <v>5636.843466832951</v>
      </c>
      <c r="BM11" s="585" t="s">
        <v>566</v>
      </c>
      <c r="BN11" s="584">
        <v>92005.987500000003</v>
      </c>
      <c r="BO11" s="584">
        <v>23180.719343749999</v>
      </c>
      <c r="BP11" s="563">
        <f t="shared" si="4"/>
        <v>68825.268156250007</v>
      </c>
      <c r="BQ11" s="583">
        <f>'Série Histórica IPCA'!J375</f>
        <v>1.6561067591298313</v>
      </c>
      <c r="BR11" s="631">
        <f t="shared" si="5"/>
        <v>41558.473073567366</v>
      </c>
      <c r="BS11" s="582">
        <v>0.15</v>
      </c>
      <c r="BT11" s="563">
        <f t="shared" si="6"/>
        <v>6233.7709610351048</v>
      </c>
      <c r="BV11" s="585" t="s">
        <v>566</v>
      </c>
      <c r="BW11" s="584">
        <v>122095.16833333333</v>
      </c>
      <c r="BX11" s="584">
        <v>21322.532144166664</v>
      </c>
      <c r="BY11" s="563">
        <f t="shared" si="0"/>
        <v>100772.63618916667</v>
      </c>
      <c r="BZ11" s="583">
        <f>'Série Histórica IPCA'!J388</f>
        <v>1.7108105773936519</v>
      </c>
      <c r="CA11" s="631">
        <f>BY11/BZ11</f>
        <v>58903.444671641882</v>
      </c>
      <c r="CB11" s="582">
        <v>0.15</v>
      </c>
      <c r="CC11" s="563">
        <f t="shared" si="8"/>
        <v>8835.5167007462824</v>
      </c>
      <c r="CE11" s="585" t="s">
        <v>566</v>
      </c>
      <c r="CF11" s="584">
        <v>104905.14000000004</v>
      </c>
      <c r="CG11" s="584">
        <v>9074.2946100000008</v>
      </c>
      <c r="CH11" s="563">
        <f t="shared" si="9"/>
        <v>95830.845390000046</v>
      </c>
      <c r="CI11" s="583">
        <f>'Série Histórica IPCA'!J401</f>
        <v>1.8151611014973019</v>
      </c>
      <c r="CJ11" s="774">
        <f t="shared" ref="CJ11:CJ20" si="17">CH11/CI11</f>
        <v>52794.677734637698</v>
      </c>
      <c r="CK11" s="582">
        <v>0.15</v>
      </c>
      <c r="CL11" s="563">
        <f t="shared" si="1"/>
        <v>7919.2016601956548</v>
      </c>
      <c r="CN11" s="585" t="s">
        <v>566</v>
      </c>
      <c r="CO11" s="584">
        <v>134652.68</v>
      </c>
      <c r="CP11" s="584">
        <v>11647.456819999999</v>
      </c>
      <c r="CQ11" s="563">
        <f t="shared" si="10"/>
        <v>123005.22318</v>
      </c>
      <c r="CR11" s="583">
        <v>2.0202636351714016</v>
      </c>
      <c r="CS11" s="563">
        <f t="shared" si="11"/>
        <v>60885.728495312986</v>
      </c>
      <c r="CT11" s="582">
        <v>0.15</v>
      </c>
      <c r="CU11" s="563">
        <f t="shared" si="12"/>
        <v>9132.8592742969468</v>
      </c>
      <c r="CW11" s="585" t="s">
        <v>566</v>
      </c>
      <c r="CX11" s="584">
        <v>607856.94999999984</v>
      </c>
      <c r="CY11" s="584">
        <v>52579.626174999983</v>
      </c>
      <c r="CZ11" s="563">
        <f t="shared" si="13"/>
        <v>555277.32382499985</v>
      </c>
      <c r="DA11" s="583">
        <v>2.1142216493031678</v>
      </c>
      <c r="DB11" s="563">
        <f t="shared" si="14"/>
        <v>262639.12490349117</v>
      </c>
      <c r="DC11" s="582">
        <v>0.15</v>
      </c>
      <c r="DD11" s="563">
        <f t="shared" si="15"/>
        <v>39395.868735523676</v>
      </c>
      <c r="DF11" s="585" t="s">
        <v>566</v>
      </c>
      <c r="DG11" s="584">
        <v>160410.54999999999</v>
      </c>
      <c r="DH11" s="584">
        <f>DG11*8.65%</f>
        <v>13875.512575000001</v>
      </c>
      <c r="DI11" s="563">
        <f t="shared" si="16"/>
        <v>146535.03742499999</v>
      </c>
      <c r="DJ11" s="583">
        <v>2.1972177884969084</v>
      </c>
      <c r="DK11" s="877">
        <f t="shared" si="2"/>
        <v>66691.175627720964</v>
      </c>
      <c r="DL11" s="582">
        <v>0.15</v>
      </c>
      <c r="DM11" s="563">
        <f t="shared" si="3"/>
        <v>10003.676344158144</v>
      </c>
      <c r="DO11" s="585" t="s">
        <v>566</v>
      </c>
      <c r="DP11" s="584"/>
      <c r="DQ11" s="584" t="s">
        <v>556</v>
      </c>
      <c r="DR11" s="563" t="s">
        <v>556</v>
      </c>
      <c r="DS11" s="583">
        <v>0</v>
      </c>
      <c r="DT11" s="563" t="s">
        <v>556</v>
      </c>
      <c r="DU11" s="582">
        <v>0.15</v>
      </c>
      <c r="DV11" s="563">
        <v>0</v>
      </c>
      <c r="DX11" s="585" t="s">
        <v>566</v>
      </c>
      <c r="DY11" s="584"/>
      <c r="DZ11" s="584" t="s">
        <v>556</v>
      </c>
      <c r="EA11" s="563" t="s">
        <v>556</v>
      </c>
      <c r="EB11" s="583">
        <v>0</v>
      </c>
      <c r="EC11" s="563" t="s">
        <v>556</v>
      </c>
      <c r="ED11" s="582">
        <v>0.15</v>
      </c>
      <c r="EE11" s="563">
        <v>0</v>
      </c>
      <c r="EG11" s="585" t="s">
        <v>566</v>
      </c>
      <c r="EH11" s="584"/>
      <c r="EI11" s="584" t="s">
        <v>556</v>
      </c>
      <c r="EJ11" s="563" t="s">
        <v>556</v>
      </c>
      <c r="EK11" s="583">
        <v>0</v>
      </c>
      <c r="EL11" s="563" t="s">
        <v>556</v>
      </c>
      <c r="EM11" s="582">
        <v>0.15</v>
      </c>
      <c r="EN11" s="563">
        <v>0</v>
      </c>
      <c r="EP11" s="585" t="s">
        <v>566</v>
      </c>
      <c r="EQ11" s="584"/>
      <c r="ER11" s="584" t="s">
        <v>556</v>
      </c>
      <c r="ES11" s="563" t="s">
        <v>556</v>
      </c>
      <c r="ET11" s="583">
        <v>0</v>
      </c>
      <c r="EU11" s="563" t="s">
        <v>556</v>
      </c>
      <c r="EV11" s="582">
        <v>0.15</v>
      </c>
      <c r="EW11" s="563">
        <v>0</v>
      </c>
      <c r="EY11" s="585" t="s">
        <v>566</v>
      </c>
      <c r="EZ11" s="584"/>
      <c r="FA11" s="584" t="s">
        <v>556</v>
      </c>
      <c r="FB11" s="563" t="s">
        <v>556</v>
      </c>
      <c r="FC11" s="583">
        <v>0</v>
      </c>
      <c r="FD11" s="563" t="s">
        <v>556</v>
      </c>
      <c r="FE11" s="582">
        <v>0.15</v>
      </c>
      <c r="FF11" s="563">
        <v>0</v>
      </c>
      <c r="FH11" s="585" t="s">
        <v>566</v>
      </c>
      <c r="FI11" s="584"/>
      <c r="FJ11" s="584" t="s">
        <v>556</v>
      </c>
      <c r="FK11" s="563" t="s">
        <v>556</v>
      </c>
      <c r="FL11" s="583">
        <v>0</v>
      </c>
      <c r="FM11" s="563" t="s">
        <v>556</v>
      </c>
      <c r="FN11" s="582">
        <v>0.15</v>
      </c>
      <c r="FO11" s="563">
        <v>0</v>
      </c>
      <c r="FQ11" s="585" t="s">
        <v>566</v>
      </c>
      <c r="FR11" s="584"/>
      <c r="FS11" s="584" t="s">
        <v>556</v>
      </c>
      <c r="FT11" s="563" t="s">
        <v>556</v>
      </c>
      <c r="FU11" s="583">
        <v>0</v>
      </c>
      <c r="FV11" s="563" t="s">
        <v>556</v>
      </c>
      <c r="FW11" s="582">
        <v>0.15</v>
      </c>
      <c r="FX11" s="563">
        <v>0</v>
      </c>
      <c r="FZ11" s="585" t="s">
        <v>566</v>
      </c>
      <c r="GA11" s="584"/>
      <c r="GB11" s="584" t="s">
        <v>556</v>
      </c>
      <c r="GC11" s="563" t="s">
        <v>556</v>
      </c>
      <c r="GD11" s="583">
        <v>0</v>
      </c>
      <c r="GE11" s="563" t="s">
        <v>556</v>
      </c>
      <c r="GF11" s="582">
        <v>0.15</v>
      </c>
      <c r="GG11" s="563">
        <v>0</v>
      </c>
      <c r="GI11" s="585" t="s">
        <v>566</v>
      </c>
      <c r="GJ11" s="584"/>
      <c r="GK11" s="584" t="s">
        <v>556</v>
      </c>
      <c r="GL11" s="563" t="s">
        <v>556</v>
      </c>
      <c r="GM11" s="583">
        <v>0</v>
      </c>
      <c r="GN11" s="563" t="s">
        <v>556</v>
      </c>
      <c r="GO11" s="582">
        <v>0.15</v>
      </c>
      <c r="GP11" s="563">
        <v>0</v>
      </c>
      <c r="GR11" s="585" t="s">
        <v>566</v>
      </c>
      <c r="GS11" s="584"/>
      <c r="GT11" s="584" t="s">
        <v>556</v>
      </c>
      <c r="GU11" s="563" t="s">
        <v>556</v>
      </c>
      <c r="GV11" s="583">
        <v>0</v>
      </c>
      <c r="GW11" s="563" t="s">
        <v>556</v>
      </c>
      <c r="GX11" s="582">
        <v>0.15</v>
      </c>
      <c r="GY11" s="563">
        <v>0</v>
      </c>
      <c r="HA11" s="585" t="s">
        <v>566</v>
      </c>
      <c r="HB11" s="584"/>
      <c r="HC11" s="584" t="s">
        <v>556</v>
      </c>
      <c r="HD11" s="563" t="s">
        <v>556</v>
      </c>
      <c r="HE11" s="583">
        <v>0</v>
      </c>
      <c r="HF11" s="563" t="s">
        <v>556</v>
      </c>
      <c r="HG11" s="582">
        <v>0.15</v>
      </c>
      <c r="HH11" s="563">
        <v>0</v>
      </c>
      <c r="HJ11" s="585" t="s">
        <v>566</v>
      </c>
      <c r="HK11" s="584"/>
      <c r="HL11" s="584" t="s">
        <v>556</v>
      </c>
      <c r="HM11" s="563" t="s">
        <v>556</v>
      </c>
      <c r="HN11" s="583">
        <v>0</v>
      </c>
      <c r="HO11" s="563" t="s">
        <v>556</v>
      </c>
      <c r="HP11" s="582">
        <v>0.15</v>
      </c>
      <c r="HQ11" s="563">
        <v>0</v>
      </c>
      <c r="HS11" s="585" t="s">
        <v>566</v>
      </c>
      <c r="HT11" s="584"/>
      <c r="HU11" s="584" t="s">
        <v>556</v>
      </c>
      <c r="HV11" s="563" t="s">
        <v>556</v>
      </c>
      <c r="HW11" s="583">
        <v>0</v>
      </c>
      <c r="HX11" s="563" t="s">
        <v>556</v>
      </c>
      <c r="HY11" s="582">
        <v>0.15</v>
      </c>
      <c r="HZ11" s="563">
        <v>0</v>
      </c>
      <c r="IB11" s="585" t="s">
        <v>566</v>
      </c>
      <c r="IC11" s="584"/>
      <c r="ID11" s="584" t="s">
        <v>556</v>
      </c>
      <c r="IE11" s="563" t="s">
        <v>556</v>
      </c>
      <c r="IF11" s="583">
        <v>0</v>
      </c>
      <c r="IG11" s="563" t="s">
        <v>556</v>
      </c>
      <c r="IH11" s="582">
        <v>0.15</v>
      </c>
      <c r="II11" s="563">
        <v>0</v>
      </c>
      <c r="IK11" s="585" t="s">
        <v>566</v>
      </c>
      <c r="IL11" s="584"/>
      <c r="IM11" s="584" t="s">
        <v>556</v>
      </c>
      <c r="IN11" s="563" t="s">
        <v>556</v>
      </c>
      <c r="IO11" s="583">
        <v>0</v>
      </c>
      <c r="IP11" s="563" t="s">
        <v>556</v>
      </c>
      <c r="IQ11" s="582">
        <v>0.15</v>
      </c>
      <c r="IR11" s="563">
        <v>0</v>
      </c>
      <c r="IT11" s="585" t="s">
        <v>566</v>
      </c>
      <c r="IU11" s="584"/>
      <c r="IV11" s="584" t="s">
        <v>556</v>
      </c>
      <c r="IW11" s="563" t="s">
        <v>556</v>
      </c>
      <c r="IX11" s="583">
        <v>0</v>
      </c>
      <c r="IY11" s="563" t="s">
        <v>556</v>
      </c>
      <c r="IZ11" s="582">
        <v>0.15</v>
      </c>
      <c r="JA11" s="563">
        <v>0</v>
      </c>
      <c r="JC11" s="585" t="s">
        <v>566</v>
      </c>
      <c r="JD11" s="584"/>
      <c r="JE11" s="584" t="s">
        <v>556</v>
      </c>
      <c r="JF11" s="563" t="s">
        <v>556</v>
      </c>
      <c r="JG11" s="583">
        <v>0</v>
      </c>
      <c r="JH11" s="563" t="s">
        <v>556</v>
      </c>
      <c r="JI11" s="582">
        <v>0.15</v>
      </c>
      <c r="JJ11" s="563">
        <v>0</v>
      </c>
      <c r="JL11" s="585" t="s">
        <v>566</v>
      </c>
      <c r="JM11" s="584"/>
      <c r="JN11" s="584" t="s">
        <v>556</v>
      </c>
      <c r="JO11" s="563" t="s">
        <v>556</v>
      </c>
      <c r="JP11" s="583">
        <v>0</v>
      </c>
      <c r="JQ11" s="563" t="s">
        <v>556</v>
      </c>
      <c r="JR11" s="582">
        <v>0.15</v>
      </c>
      <c r="JS11" s="563">
        <v>0</v>
      </c>
      <c r="JU11" s="585" t="s">
        <v>566</v>
      </c>
      <c r="JV11" s="584"/>
      <c r="JW11" s="584" t="s">
        <v>556</v>
      </c>
      <c r="JX11" s="563" t="s">
        <v>556</v>
      </c>
      <c r="JY11" s="583">
        <v>0</v>
      </c>
      <c r="JZ11" s="563" t="s">
        <v>556</v>
      </c>
      <c r="KA11" s="582">
        <v>0.15</v>
      </c>
      <c r="KB11" s="563">
        <v>0</v>
      </c>
      <c r="KD11" s="585" t="s">
        <v>566</v>
      </c>
      <c r="KE11" s="584"/>
      <c r="KF11" s="584" t="s">
        <v>556</v>
      </c>
      <c r="KG11" s="563" t="s">
        <v>556</v>
      </c>
      <c r="KH11" s="583">
        <v>0</v>
      </c>
      <c r="KI11" s="563" t="s">
        <v>556</v>
      </c>
      <c r="KJ11" s="582">
        <v>0.15</v>
      </c>
      <c r="KK11" s="563">
        <v>0</v>
      </c>
      <c r="KM11" s="585" t="s">
        <v>566</v>
      </c>
      <c r="KN11" s="584"/>
      <c r="KO11" s="584" t="s">
        <v>556</v>
      </c>
      <c r="KP11" s="563" t="s">
        <v>556</v>
      </c>
      <c r="KQ11" s="583">
        <v>0</v>
      </c>
      <c r="KR11" s="563" t="s">
        <v>556</v>
      </c>
      <c r="KS11" s="582">
        <v>0.15</v>
      </c>
      <c r="KT11" s="563">
        <v>0</v>
      </c>
      <c r="KV11" s="585" t="s">
        <v>566</v>
      </c>
      <c r="KW11" s="584"/>
      <c r="KX11" s="584" t="s">
        <v>556</v>
      </c>
      <c r="KY11" s="563" t="s">
        <v>556</v>
      </c>
      <c r="KZ11" s="583">
        <v>0</v>
      </c>
      <c r="LA11" s="563" t="s">
        <v>556</v>
      </c>
      <c r="LB11" s="582">
        <v>0.15</v>
      </c>
      <c r="LC11" s="563">
        <v>0</v>
      </c>
    </row>
    <row r="12" spans="2:315">
      <c r="B12" s="585" t="s">
        <v>565</v>
      </c>
      <c r="C12" s="584"/>
      <c r="D12" s="584" t="s">
        <v>556</v>
      </c>
      <c r="E12" s="563" t="s">
        <v>556</v>
      </c>
      <c r="F12" s="583">
        <v>1.1091299999999999</v>
      </c>
      <c r="G12" s="563" t="s">
        <v>556</v>
      </c>
      <c r="H12" s="582">
        <v>0.15</v>
      </c>
      <c r="I12" s="563">
        <v>0</v>
      </c>
      <c r="K12" s="585" t="s">
        <v>565</v>
      </c>
      <c r="L12" s="584"/>
      <c r="M12" s="584" t="s">
        <v>556</v>
      </c>
      <c r="N12" s="563" t="s">
        <v>556</v>
      </c>
      <c r="O12" s="583">
        <v>1.1811499999999999</v>
      </c>
      <c r="P12" s="563" t="s">
        <v>556</v>
      </c>
      <c r="Q12" s="582">
        <v>0.15</v>
      </c>
      <c r="R12" s="563">
        <v>0</v>
      </c>
      <c r="T12" s="587" t="s">
        <v>565</v>
      </c>
      <c r="U12" s="584"/>
      <c r="V12" s="584" t="s">
        <v>556</v>
      </c>
      <c r="W12" s="563" t="s">
        <v>556</v>
      </c>
      <c r="X12" s="583">
        <v>1.25532</v>
      </c>
      <c r="Y12" s="563" t="s">
        <v>556</v>
      </c>
      <c r="Z12" s="582">
        <v>0.15</v>
      </c>
      <c r="AA12" s="563">
        <v>0</v>
      </c>
      <c r="AC12" s="587" t="s">
        <v>565</v>
      </c>
      <c r="AD12" s="584">
        <v>68147.03</v>
      </c>
      <c r="AE12" s="584">
        <v>9635.9517749999977</v>
      </c>
      <c r="AF12" s="563">
        <v>58511.078225000005</v>
      </c>
      <c r="AG12" s="583">
        <v>1.3579000000000001</v>
      </c>
      <c r="AH12" s="563">
        <v>43089.38671846233</v>
      </c>
      <c r="AI12" s="582">
        <v>0.15</v>
      </c>
      <c r="AJ12" s="563">
        <v>6463.4080077693498</v>
      </c>
      <c r="AL12" s="586" t="s">
        <v>565</v>
      </c>
      <c r="AM12" s="584">
        <v>52699.62</v>
      </c>
      <c r="AN12" s="584">
        <v>15588.40185</v>
      </c>
      <c r="AO12" s="563">
        <v>37111.218150000001</v>
      </c>
      <c r="AP12" s="583">
        <v>1.4838800000000001</v>
      </c>
      <c r="AQ12" s="563">
        <v>25009.581738415505</v>
      </c>
      <c r="AR12" s="582">
        <v>0.15</v>
      </c>
      <c r="AS12" s="563">
        <v>3751.4372607623254</v>
      </c>
      <c r="AU12" s="586" t="s">
        <v>565</v>
      </c>
      <c r="AV12" s="584">
        <v>45584.049999999996</v>
      </c>
      <c r="AW12" s="584">
        <v>6360.7271249999994</v>
      </c>
      <c r="AX12" s="563">
        <v>39223.322874999998</v>
      </c>
      <c r="AY12" s="583">
        <v>1.5444599999999999</v>
      </c>
      <c r="AZ12" s="563">
        <v>25396.140317651476</v>
      </c>
      <c r="BA12" s="582">
        <v>0.15</v>
      </c>
      <c r="BB12" s="563">
        <v>3809.421047647721</v>
      </c>
      <c r="BD12" s="585" t="s">
        <v>565</v>
      </c>
      <c r="BE12" s="584">
        <v>212278.59</v>
      </c>
      <c r="BF12" s="584">
        <v>29224.346575000003</v>
      </c>
      <c r="BG12" s="563">
        <v>183054.24342499999</v>
      </c>
      <c r="BH12" s="583">
        <v>1.5871299999999999</v>
      </c>
      <c r="BI12" s="563">
        <v>115336.64124866898</v>
      </c>
      <c r="BJ12" s="582">
        <v>0.15</v>
      </c>
      <c r="BK12" s="563">
        <v>17300.496187300345</v>
      </c>
      <c r="BM12" s="585" t="s">
        <v>565</v>
      </c>
      <c r="BN12" s="584">
        <v>61113.277500000011</v>
      </c>
      <c r="BO12" s="584">
        <v>7611.2856687499998</v>
      </c>
      <c r="BP12" s="563">
        <f t="shared" si="4"/>
        <v>53501.991831250009</v>
      </c>
      <c r="BQ12" s="583">
        <f>'Série Histórica IPCA'!J376</f>
        <v>1.6655460625853646</v>
      </c>
      <c r="BR12" s="631">
        <f t="shared" si="5"/>
        <v>32122.79325868711</v>
      </c>
      <c r="BS12" s="582">
        <v>0.15</v>
      </c>
      <c r="BT12" s="563">
        <f t="shared" si="6"/>
        <v>4818.418988803066</v>
      </c>
      <c r="BV12" s="585" t="s">
        <v>565</v>
      </c>
      <c r="BW12" s="584">
        <v>110898.46833333334</v>
      </c>
      <c r="BX12" s="584">
        <v>8425.2175941666683</v>
      </c>
      <c r="BY12" s="563">
        <f t="shared" si="0"/>
        <v>102473.25073916667</v>
      </c>
      <c r="BZ12" s="583">
        <f>'Série Histórica IPCA'!J389</f>
        <v>1.7055071666416104</v>
      </c>
      <c r="CA12" s="631">
        <f t="shared" si="7"/>
        <v>60083.740920861259</v>
      </c>
      <c r="CB12" s="582">
        <v>0.15</v>
      </c>
      <c r="CC12" s="563">
        <f t="shared" si="8"/>
        <v>9012.5611381291892</v>
      </c>
      <c r="CE12" s="585" t="s">
        <v>565</v>
      </c>
      <c r="CF12" s="584">
        <v>400122.04000000004</v>
      </c>
      <c r="CG12" s="584">
        <v>34610.55646</v>
      </c>
      <c r="CH12" s="563">
        <f t="shared" si="9"/>
        <v>365511.48354000004</v>
      </c>
      <c r="CI12" s="583">
        <f>'Série Histórica IPCA'!J402</f>
        <v>1.8207875788874355</v>
      </c>
      <c r="CJ12" s="774">
        <f t="shared" si="17"/>
        <v>200743.61654166176</v>
      </c>
      <c r="CK12" s="582">
        <v>0.15</v>
      </c>
      <c r="CL12" s="563">
        <f t="shared" si="1"/>
        <v>30111.542481249264</v>
      </c>
      <c r="CN12" s="585" t="s">
        <v>565</v>
      </c>
      <c r="CO12" s="584">
        <v>61171.990000000005</v>
      </c>
      <c r="CP12" s="584">
        <v>5291.3771349999997</v>
      </c>
      <c r="CQ12" s="563">
        <f t="shared" si="10"/>
        <v>55880.612865000003</v>
      </c>
      <c r="CR12" s="583">
        <v>2.0416787949934267</v>
      </c>
      <c r="CS12" s="563">
        <f t="shared" si="11"/>
        <v>27369.933508654536</v>
      </c>
      <c r="CT12" s="582">
        <v>0.15</v>
      </c>
      <c r="CU12" s="563">
        <f t="shared" si="12"/>
        <v>4105.4900262981801</v>
      </c>
      <c r="CW12" s="585" t="s">
        <v>565</v>
      </c>
      <c r="CX12" s="584">
        <v>114446.93999999997</v>
      </c>
      <c r="CY12" s="584">
        <v>9899.6603099999975</v>
      </c>
      <c r="CZ12" s="563">
        <f t="shared" si="13"/>
        <v>104547.27968999998</v>
      </c>
      <c r="DA12" s="583">
        <v>2.1271187253901589</v>
      </c>
      <c r="DB12" s="563">
        <f t="shared" si="14"/>
        <v>49149.715266045518</v>
      </c>
      <c r="DC12" s="582">
        <v>0.15</v>
      </c>
      <c r="DD12" s="563">
        <f t="shared" si="15"/>
        <v>7372.4572899068271</v>
      </c>
      <c r="DF12" s="585" t="s">
        <v>565</v>
      </c>
      <c r="DG12" s="584">
        <v>119565.79999999999</v>
      </c>
      <c r="DH12" s="584">
        <f>DG12*8.65%</f>
        <v>10342.441699999999</v>
      </c>
      <c r="DI12" s="563">
        <f t="shared" si="16"/>
        <v>109223.35829999999</v>
      </c>
      <c r="DJ12" s="583">
        <v>2.2055663422139342</v>
      </c>
      <c r="DK12" s="877">
        <f t="shared" si="2"/>
        <v>49521.683483055989</v>
      </c>
      <c r="DL12" s="582">
        <v>0.15</v>
      </c>
      <c r="DM12" s="563">
        <f t="shared" si="3"/>
        <v>7428.2525224583978</v>
      </c>
      <c r="DO12" s="585" t="s">
        <v>565</v>
      </c>
      <c r="DP12" s="584"/>
      <c r="DQ12" s="584" t="s">
        <v>556</v>
      </c>
      <c r="DR12" s="563" t="s">
        <v>556</v>
      </c>
      <c r="DS12" s="583">
        <v>0</v>
      </c>
      <c r="DT12" s="563" t="s">
        <v>556</v>
      </c>
      <c r="DU12" s="582">
        <v>0.15</v>
      </c>
      <c r="DV12" s="563">
        <v>0</v>
      </c>
      <c r="DX12" s="585" t="s">
        <v>565</v>
      </c>
      <c r="DY12" s="584"/>
      <c r="DZ12" s="584" t="s">
        <v>556</v>
      </c>
      <c r="EA12" s="563" t="s">
        <v>556</v>
      </c>
      <c r="EB12" s="583">
        <v>0</v>
      </c>
      <c r="EC12" s="563" t="s">
        <v>556</v>
      </c>
      <c r="ED12" s="582">
        <v>0.15</v>
      </c>
      <c r="EE12" s="563">
        <v>0</v>
      </c>
      <c r="EG12" s="585" t="s">
        <v>565</v>
      </c>
      <c r="EH12" s="584"/>
      <c r="EI12" s="584" t="s">
        <v>556</v>
      </c>
      <c r="EJ12" s="563" t="s">
        <v>556</v>
      </c>
      <c r="EK12" s="583">
        <v>0</v>
      </c>
      <c r="EL12" s="563" t="s">
        <v>556</v>
      </c>
      <c r="EM12" s="582">
        <v>0.15</v>
      </c>
      <c r="EN12" s="563">
        <v>0</v>
      </c>
      <c r="EP12" s="585" t="s">
        <v>565</v>
      </c>
      <c r="EQ12" s="584"/>
      <c r="ER12" s="584" t="s">
        <v>556</v>
      </c>
      <c r="ES12" s="563" t="s">
        <v>556</v>
      </c>
      <c r="ET12" s="583">
        <v>0</v>
      </c>
      <c r="EU12" s="563" t="s">
        <v>556</v>
      </c>
      <c r="EV12" s="582">
        <v>0.15</v>
      </c>
      <c r="EW12" s="563">
        <v>0</v>
      </c>
      <c r="EY12" s="585" t="s">
        <v>565</v>
      </c>
      <c r="EZ12" s="584"/>
      <c r="FA12" s="584" t="s">
        <v>556</v>
      </c>
      <c r="FB12" s="563" t="s">
        <v>556</v>
      </c>
      <c r="FC12" s="583">
        <v>0</v>
      </c>
      <c r="FD12" s="563" t="s">
        <v>556</v>
      </c>
      <c r="FE12" s="582">
        <v>0.15</v>
      </c>
      <c r="FF12" s="563">
        <v>0</v>
      </c>
      <c r="FH12" s="585" t="s">
        <v>565</v>
      </c>
      <c r="FI12" s="584"/>
      <c r="FJ12" s="584" t="s">
        <v>556</v>
      </c>
      <c r="FK12" s="563" t="s">
        <v>556</v>
      </c>
      <c r="FL12" s="583">
        <v>0</v>
      </c>
      <c r="FM12" s="563" t="s">
        <v>556</v>
      </c>
      <c r="FN12" s="582">
        <v>0.15</v>
      </c>
      <c r="FO12" s="563">
        <v>0</v>
      </c>
      <c r="FQ12" s="585" t="s">
        <v>565</v>
      </c>
      <c r="FR12" s="584"/>
      <c r="FS12" s="584" t="s">
        <v>556</v>
      </c>
      <c r="FT12" s="563" t="s">
        <v>556</v>
      </c>
      <c r="FU12" s="583">
        <v>0</v>
      </c>
      <c r="FV12" s="563" t="s">
        <v>556</v>
      </c>
      <c r="FW12" s="582">
        <v>0.15</v>
      </c>
      <c r="FX12" s="563">
        <v>0</v>
      </c>
      <c r="FZ12" s="585" t="s">
        <v>565</v>
      </c>
      <c r="GA12" s="584"/>
      <c r="GB12" s="584" t="s">
        <v>556</v>
      </c>
      <c r="GC12" s="563" t="s">
        <v>556</v>
      </c>
      <c r="GD12" s="583">
        <v>0</v>
      </c>
      <c r="GE12" s="563" t="s">
        <v>556</v>
      </c>
      <c r="GF12" s="582">
        <v>0.15</v>
      </c>
      <c r="GG12" s="563">
        <v>0</v>
      </c>
      <c r="GI12" s="585" t="s">
        <v>565</v>
      </c>
      <c r="GJ12" s="584"/>
      <c r="GK12" s="584" t="s">
        <v>556</v>
      </c>
      <c r="GL12" s="563" t="s">
        <v>556</v>
      </c>
      <c r="GM12" s="583">
        <v>0</v>
      </c>
      <c r="GN12" s="563" t="s">
        <v>556</v>
      </c>
      <c r="GO12" s="582">
        <v>0.15</v>
      </c>
      <c r="GP12" s="563">
        <v>0</v>
      </c>
      <c r="GR12" s="585" t="s">
        <v>565</v>
      </c>
      <c r="GS12" s="584"/>
      <c r="GT12" s="584" t="s">
        <v>556</v>
      </c>
      <c r="GU12" s="563" t="s">
        <v>556</v>
      </c>
      <c r="GV12" s="583">
        <v>0</v>
      </c>
      <c r="GW12" s="563" t="s">
        <v>556</v>
      </c>
      <c r="GX12" s="582">
        <v>0.15</v>
      </c>
      <c r="GY12" s="563">
        <v>0</v>
      </c>
      <c r="HA12" s="585" t="s">
        <v>565</v>
      </c>
      <c r="HB12" s="584"/>
      <c r="HC12" s="584" t="s">
        <v>556</v>
      </c>
      <c r="HD12" s="563" t="s">
        <v>556</v>
      </c>
      <c r="HE12" s="583">
        <v>0</v>
      </c>
      <c r="HF12" s="563" t="s">
        <v>556</v>
      </c>
      <c r="HG12" s="582">
        <v>0.15</v>
      </c>
      <c r="HH12" s="563">
        <v>0</v>
      </c>
      <c r="HJ12" s="585" t="s">
        <v>565</v>
      </c>
      <c r="HK12" s="584"/>
      <c r="HL12" s="584" t="s">
        <v>556</v>
      </c>
      <c r="HM12" s="563" t="s">
        <v>556</v>
      </c>
      <c r="HN12" s="583">
        <v>0</v>
      </c>
      <c r="HO12" s="563" t="s">
        <v>556</v>
      </c>
      <c r="HP12" s="582">
        <v>0.15</v>
      </c>
      <c r="HQ12" s="563">
        <v>0</v>
      </c>
      <c r="HS12" s="585" t="s">
        <v>565</v>
      </c>
      <c r="HT12" s="584"/>
      <c r="HU12" s="584" t="s">
        <v>556</v>
      </c>
      <c r="HV12" s="563" t="s">
        <v>556</v>
      </c>
      <c r="HW12" s="583">
        <v>0</v>
      </c>
      <c r="HX12" s="563" t="s">
        <v>556</v>
      </c>
      <c r="HY12" s="582">
        <v>0.15</v>
      </c>
      <c r="HZ12" s="563">
        <v>0</v>
      </c>
      <c r="IB12" s="585" t="s">
        <v>565</v>
      </c>
      <c r="IC12" s="584"/>
      <c r="ID12" s="584" t="s">
        <v>556</v>
      </c>
      <c r="IE12" s="563" t="s">
        <v>556</v>
      </c>
      <c r="IF12" s="583">
        <v>0</v>
      </c>
      <c r="IG12" s="563" t="s">
        <v>556</v>
      </c>
      <c r="IH12" s="582">
        <v>0.15</v>
      </c>
      <c r="II12" s="563">
        <v>0</v>
      </c>
      <c r="IK12" s="585" t="s">
        <v>565</v>
      </c>
      <c r="IL12" s="584"/>
      <c r="IM12" s="584" t="s">
        <v>556</v>
      </c>
      <c r="IN12" s="563" t="s">
        <v>556</v>
      </c>
      <c r="IO12" s="583">
        <v>0</v>
      </c>
      <c r="IP12" s="563" t="s">
        <v>556</v>
      </c>
      <c r="IQ12" s="582">
        <v>0.15</v>
      </c>
      <c r="IR12" s="563">
        <v>0</v>
      </c>
      <c r="IT12" s="585" t="s">
        <v>565</v>
      </c>
      <c r="IU12" s="584"/>
      <c r="IV12" s="584" t="s">
        <v>556</v>
      </c>
      <c r="IW12" s="563" t="s">
        <v>556</v>
      </c>
      <c r="IX12" s="583">
        <v>0</v>
      </c>
      <c r="IY12" s="563" t="s">
        <v>556</v>
      </c>
      <c r="IZ12" s="582">
        <v>0.15</v>
      </c>
      <c r="JA12" s="563">
        <v>0</v>
      </c>
      <c r="JC12" s="585" t="s">
        <v>565</v>
      </c>
      <c r="JD12" s="584"/>
      <c r="JE12" s="584" t="s">
        <v>556</v>
      </c>
      <c r="JF12" s="563" t="s">
        <v>556</v>
      </c>
      <c r="JG12" s="583">
        <v>0</v>
      </c>
      <c r="JH12" s="563" t="s">
        <v>556</v>
      </c>
      <c r="JI12" s="582">
        <v>0.15</v>
      </c>
      <c r="JJ12" s="563">
        <v>0</v>
      </c>
      <c r="JL12" s="585" t="s">
        <v>565</v>
      </c>
      <c r="JM12" s="584"/>
      <c r="JN12" s="584" t="s">
        <v>556</v>
      </c>
      <c r="JO12" s="563" t="s">
        <v>556</v>
      </c>
      <c r="JP12" s="583">
        <v>0</v>
      </c>
      <c r="JQ12" s="563" t="s">
        <v>556</v>
      </c>
      <c r="JR12" s="582">
        <v>0.15</v>
      </c>
      <c r="JS12" s="563">
        <v>0</v>
      </c>
      <c r="JU12" s="585" t="s">
        <v>565</v>
      </c>
      <c r="JV12" s="584"/>
      <c r="JW12" s="584" t="s">
        <v>556</v>
      </c>
      <c r="JX12" s="563" t="s">
        <v>556</v>
      </c>
      <c r="JY12" s="583">
        <v>0</v>
      </c>
      <c r="JZ12" s="563" t="s">
        <v>556</v>
      </c>
      <c r="KA12" s="582">
        <v>0.15</v>
      </c>
      <c r="KB12" s="563">
        <v>0</v>
      </c>
      <c r="KD12" s="585" t="s">
        <v>565</v>
      </c>
      <c r="KE12" s="584"/>
      <c r="KF12" s="584" t="s">
        <v>556</v>
      </c>
      <c r="KG12" s="563" t="s">
        <v>556</v>
      </c>
      <c r="KH12" s="583">
        <v>0</v>
      </c>
      <c r="KI12" s="563" t="s">
        <v>556</v>
      </c>
      <c r="KJ12" s="582">
        <v>0.15</v>
      </c>
      <c r="KK12" s="563">
        <v>0</v>
      </c>
      <c r="KM12" s="585" t="s">
        <v>565</v>
      </c>
      <c r="KN12" s="584"/>
      <c r="KO12" s="584" t="s">
        <v>556</v>
      </c>
      <c r="KP12" s="563" t="s">
        <v>556</v>
      </c>
      <c r="KQ12" s="583">
        <v>0</v>
      </c>
      <c r="KR12" s="563" t="s">
        <v>556</v>
      </c>
      <c r="KS12" s="582">
        <v>0.15</v>
      </c>
      <c r="KT12" s="563">
        <v>0</v>
      </c>
      <c r="KV12" s="585" t="s">
        <v>565</v>
      </c>
      <c r="KW12" s="584"/>
      <c r="KX12" s="584" t="s">
        <v>556</v>
      </c>
      <c r="KY12" s="563" t="s">
        <v>556</v>
      </c>
      <c r="KZ12" s="583">
        <v>0</v>
      </c>
      <c r="LA12" s="563" t="s">
        <v>556</v>
      </c>
      <c r="LB12" s="582">
        <v>0.15</v>
      </c>
      <c r="LC12" s="563">
        <v>0</v>
      </c>
    </row>
    <row r="13" spans="2:315">
      <c r="B13" s="585" t="s">
        <v>564</v>
      </c>
      <c r="C13" s="584"/>
      <c r="D13" s="584" t="s">
        <v>556</v>
      </c>
      <c r="E13" s="563" t="s">
        <v>556</v>
      </c>
      <c r="F13" s="583">
        <v>1.1131200000000001</v>
      </c>
      <c r="G13" s="563" t="s">
        <v>556</v>
      </c>
      <c r="H13" s="582">
        <v>0.15</v>
      </c>
      <c r="I13" s="563">
        <v>0</v>
      </c>
      <c r="K13" s="585" t="s">
        <v>564</v>
      </c>
      <c r="L13" s="584"/>
      <c r="M13" s="584" t="s">
        <v>556</v>
      </c>
      <c r="N13" s="563" t="s">
        <v>556</v>
      </c>
      <c r="O13" s="583">
        <v>1.1855199999999999</v>
      </c>
      <c r="P13" s="563" t="s">
        <v>556</v>
      </c>
      <c r="Q13" s="582">
        <v>0.15</v>
      </c>
      <c r="R13" s="563">
        <v>0</v>
      </c>
      <c r="T13" s="587" t="s">
        <v>564</v>
      </c>
      <c r="U13" s="584"/>
      <c r="V13" s="584" t="s">
        <v>556</v>
      </c>
      <c r="W13" s="563" t="s">
        <v>556</v>
      </c>
      <c r="X13" s="583">
        <v>1.2611000000000001</v>
      </c>
      <c r="Y13" s="563" t="s">
        <v>556</v>
      </c>
      <c r="Z13" s="582">
        <v>0.15</v>
      </c>
      <c r="AA13" s="563">
        <v>0</v>
      </c>
      <c r="AC13" s="587" t="s">
        <v>564</v>
      </c>
      <c r="AD13" s="584">
        <v>42663.6</v>
      </c>
      <c r="AE13" s="584">
        <v>5944.5630000000001</v>
      </c>
      <c r="AF13" s="563">
        <v>36719.036999999997</v>
      </c>
      <c r="AG13" s="583">
        <v>1.36795</v>
      </c>
      <c r="AH13" s="563">
        <v>26842.382397017431</v>
      </c>
      <c r="AI13" s="582">
        <v>0.15</v>
      </c>
      <c r="AJ13" s="563">
        <v>4026.3573595526145</v>
      </c>
      <c r="AL13" s="586" t="s">
        <v>564</v>
      </c>
      <c r="AM13" s="584">
        <v>37437.180000000008</v>
      </c>
      <c r="AN13" s="584">
        <v>4375.6316500000012</v>
      </c>
      <c r="AO13" s="563">
        <v>33061.548350000005</v>
      </c>
      <c r="AP13" s="583">
        <v>1.49546</v>
      </c>
      <c r="AQ13" s="563">
        <v>22107.945615395936</v>
      </c>
      <c r="AR13" s="582">
        <v>0.15</v>
      </c>
      <c r="AS13" s="563">
        <v>3316.1918423093903</v>
      </c>
      <c r="AU13" s="586" t="s">
        <v>564</v>
      </c>
      <c r="AV13" s="584">
        <v>93591.47</v>
      </c>
      <c r="AW13" s="584">
        <v>21018.079475000002</v>
      </c>
      <c r="AX13" s="563">
        <v>72573.390524999995</v>
      </c>
      <c r="AY13" s="583">
        <v>1.54925</v>
      </c>
      <c r="AZ13" s="563">
        <v>46844.208826851696</v>
      </c>
      <c r="BA13" s="582">
        <v>0.15</v>
      </c>
      <c r="BB13" s="563">
        <v>7026.6313240277541</v>
      </c>
      <c r="BD13" s="585" t="s">
        <v>564</v>
      </c>
      <c r="BE13" s="584">
        <v>92624.9</v>
      </c>
      <c r="BF13" s="584">
        <v>12173.695749999999</v>
      </c>
      <c r="BG13" s="563">
        <v>80451.204249999995</v>
      </c>
      <c r="BH13" s="583">
        <v>1.59348</v>
      </c>
      <c r="BI13" s="563">
        <v>50487.740197555031</v>
      </c>
      <c r="BJ13" s="582">
        <v>0.15</v>
      </c>
      <c r="BK13" s="563">
        <v>7573.1610296332547</v>
      </c>
      <c r="BM13" s="585" t="s">
        <v>564</v>
      </c>
      <c r="BN13" s="584">
        <v>102044.97750000002</v>
      </c>
      <c r="BO13" s="584">
        <v>13444.05291875</v>
      </c>
      <c r="BP13" s="563">
        <f t="shared" si="4"/>
        <v>88600.92458125003</v>
      </c>
      <c r="BQ13" s="583">
        <f>'Série Histórica IPCA'!J377</f>
        <v>1.6677115686644552</v>
      </c>
      <c r="BR13" s="631">
        <f t="shared" si="5"/>
        <v>53127.247088777978</v>
      </c>
      <c r="BS13" s="582">
        <v>0.15</v>
      </c>
      <c r="BT13" s="563">
        <f t="shared" si="6"/>
        <v>7969.087063316696</v>
      </c>
      <c r="BV13" s="585" t="s">
        <v>564</v>
      </c>
      <c r="BW13" s="584">
        <v>90655.148333333345</v>
      </c>
      <c r="BX13" s="584">
        <v>6674.1704141666669</v>
      </c>
      <c r="BY13" s="563">
        <f t="shared" si="0"/>
        <v>83980.977919166675</v>
      </c>
      <c r="BZ13" s="583">
        <f>'Série Histórica IPCA'!J390</f>
        <v>1.6990266418022639</v>
      </c>
      <c r="CA13" s="631">
        <f>BY13/BZ13</f>
        <v>49428.876424258298</v>
      </c>
      <c r="CB13" s="582">
        <v>0.15</v>
      </c>
      <c r="CC13" s="563">
        <f t="shared" si="8"/>
        <v>7414.331463638744</v>
      </c>
      <c r="CE13" s="585" t="s">
        <v>564</v>
      </c>
      <c r="CF13" s="584">
        <v>120496.51000000001</v>
      </c>
      <c r="CG13" s="584">
        <v>10422.948114999999</v>
      </c>
      <c r="CH13" s="563">
        <f t="shared" si="9"/>
        <v>110073.561885</v>
      </c>
      <c r="CI13" s="583">
        <f>'Série Histórica IPCA'!J403</f>
        <v>1.8359013399268784</v>
      </c>
      <c r="CJ13" s="774">
        <f t="shared" si="17"/>
        <v>59956.142245303927</v>
      </c>
      <c r="CK13" s="582">
        <v>0.15</v>
      </c>
      <c r="CL13" s="563">
        <f t="shared" si="1"/>
        <v>8993.421336795589</v>
      </c>
      <c r="CN13" s="585" t="s">
        <v>564</v>
      </c>
      <c r="CO13" s="584">
        <v>199240.78</v>
      </c>
      <c r="CP13" s="584">
        <v>17234.32747</v>
      </c>
      <c r="CQ13" s="563">
        <f t="shared" si="10"/>
        <v>182006.45253000001</v>
      </c>
      <c r="CR13" s="583">
        <v>2.0512748337486286</v>
      </c>
      <c r="CS13" s="563">
        <f t="shared" si="11"/>
        <v>88728.457803672252</v>
      </c>
      <c r="CT13" s="582">
        <v>0.15</v>
      </c>
      <c r="CU13" s="563">
        <f t="shared" si="12"/>
        <v>13309.268670550837</v>
      </c>
      <c r="CW13" s="585" t="s">
        <v>564</v>
      </c>
      <c r="CX13" s="584">
        <v>219879.69999999998</v>
      </c>
      <c r="CY13" s="584">
        <v>19019.594049999996</v>
      </c>
      <c r="CZ13" s="563">
        <f t="shared" si="13"/>
        <v>200860.10595</v>
      </c>
      <c r="DA13" s="583">
        <v>2.1320095064757267</v>
      </c>
      <c r="DB13" s="563">
        <f t="shared" si="14"/>
        <v>94211.637115083766</v>
      </c>
      <c r="DC13" s="582">
        <v>0.15</v>
      </c>
      <c r="DD13" s="563">
        <f t="shared" si="15"/>
        <v>14131.745567262564</v>
      </c>
      <c r="DF13" s="585" t="s">
        <v>564</v>
      </c>
      <c r="DG13" s="584">
        <v>342302</v>
      </c>
      <c r="DH13" s="584">
        <f>DG13*8.65%</f>
        <v>29609.123000000003</v>
      </c>
      <c r="DI13" s="563">
        <f t="shared" si="16"/>
        <v>312692.87699999998</v>
      </c>
      <c r="DJ13" s="583">
        <v>2.2157125538577676</v>
      </c>
      <c r="DK13" s="877">
        <f t="shared" si="2"/>
        <v>141125.19986203616</v>
      </c>
      <c r="DL13" s="582">
        <v>0.15</v>
      </c>
      <c r="DM13" s="563">
        <f t="shared" si="3"/>
        <v>21168.779979305422</v>
      </c>
      <c r="DO13" s="585" t="s">
        <v>564</v>
      </c>
      <c r="DP13" s="584"/>
      <c r="DQ13" s="584" t="s">
        <v>556</v>
      </c>
      <c r="DR13" s="563" t="s">
        <v>556</v>
      </c>
      <c r="DS13" s="583">
        <v>0</v>
      </c>
      <c r="DT13" s="563" t="s">
        <v>556</v>
      </c>
      <c r="DU13" s="582">
        <v>0.15</v>
      </c>
      <c r="DV13" s="563">
        <v>0</v>
      </c>
      <c r="DX13" s="585" t="s">
        <v>564</v>
      </c>
      <c r="DY13" s="584"/>
      <c r="DZ13" s="584" t="s">
        <v>556</v>
      </c>
      <c r="EA13" s="563" t="s">
        <v>556</v>
      </c>
      <c r="EB13" s="583">
        <v>0</v>
      </c>
      <c r="EC13" s="563" t="s">
        <v>556</v>
      </c>
      <c r="ED13" s="582">
        <v>0.15</v>
      </c>
      <c r="EE13" s="563">
        <v>0</v>
      </c>
      <c r="EG13" s="585" t="s">
        <v>564</v>
      </c>
      <c r="EH13" s="584"/>
      <c r="EI13" s="584" t="s">
        <v>556</v>
      </c>
      <c r="EJ13" s="563" t="s">
        <v>556</v>
      </c>
      <c r="EK13" s="583">
        <v>0</v>
      </c>
      <c r="EL13" s="563" t="s">
        <v>556</v>
      </c>
      <c r="EM13" s="582">
        <v>0.15</v>
      </c>
      <c r="EN13" s="563">
        <v>0</v>
      </c>
      <c r="EP13" s="585" t="s">
        <v>564</v>
      </c>
      <c r="EQ13" s="584"/>
      <c r="ER13" s="584" t="s">
        <v>556</v>
      </c>
      <c r="ES13" s="563" t="s">
        <v>556</v>
      </c>
      <c r="ET13" s="583">
        <v>0</v>
      </c>
      <c r="EU13" s="563" t="s">
        <v>556</v>
      </c>
      <c r="EV13" s="582">
        <v>0.15</v>
      </c>
      <c r="EW13" s="563">
        <v>0</v>
      </c>
      <c r="EY13" s="585" t="s">
        <v>564</v>
      </c>
      <c r="EZ13" s="584"/>
      <c r="FA13" s="584" t="s">
        <v>556</v>
      </c>
      <c r="FB13" s="563" t="s">
        <v>556</v>
      </c>
      <c r="FC13" s="583">
        <v>0</v>
      </c>
      <c r="FD13" s="563" t="s">
        <v>556</v>
      </c>
      <c r="FE13" s="582">
        <v>0.15</v>
      </c>
      <c r="FF13" s="563">
        <v>0</v>
      </c>
      <c r="FH13" s="585" t="s">
        <v>564</v>
      </c>
      <c r="FI13" s="584"/>
      <c r="FJ13" s="584" t="s">
        <v>556</v>
      </c>
      <c r="FK13" s="563" t="s">
        <v>556</v>
      </c>
      <c r="FL13" s="583">
        <v>0</v>
      </c>
      <c r="FM13" s="563" t="s">
        <v>556</v>
      </c>
      <c r="FN13" s="582">
        <v>0.15</v>
      </c>
      <c r="FO13" s="563">
        <v>0</v>
      </c>
      <c r="FQ13" s="585" t="s">
        <v>564</v>
      </c>
      <c r="FR13" s="584"/>
      <c r="FS13" s="584" t="s">
        <v>556</v>
      </c>
      <c r="FT13" s="563" t="s">
        <v>556</v>
      </c>
      <c r="FU13" s="583">
        <v>0</v>
      </c>
      <c r="FV13" s="563" t="s">
        <v>556</v>
      </c>
      <c r="FW13" s="582">
        <v>0.15</v>
      </c>
      <c r="FX13" s="563">
        <v>0</v>
      </c>
      <c r="FZ13" s="585" t="s">
        <v>564</v>
      </c>
      <c r="GA13" s="584"/>
      <c r="GB13" s="584" t="s">
        <v>556</v>
      </c>
      <c r="GC13" s="563" t="s">
        <v>556</v>
      </c>
      <c r="GD13" s="583">
        <v>0</v>
      </c>
      <c r="GE13" s="563" t="s">
        <v>556</v>
      </c>
      <c r="GF13" s="582">
        <v>0.15</v>
      </c>
      <c r="GG13" s="563">
        <v>0</v>
      </c>
      <c r="GI13" s="585" t="s">
        <v>564</v>
      </c>
      <c r="GJ13" s="584"/>
      <c r="GK13" s="584" t="s">
        <v>556</v>
      </c>
      <c r="GL13" s="563" t="s">
        <v>556</v>
      </c>
      <c r="GM13" s="583">
        <v>0</v>
      </c>
      <c r="GN13" s="563" t="s">
        <v>556</v>
      </c>
      <c r="GO13" s="582">
        <v>0.15</v>
      </c>
      <c r="GP13" s="563">
        <v>0</v>
      </c>
      <c r="GR13" s="585" t="s">
        <v>564</v>
      </c>
      <c r="GS13" s="584"/>
      <c r="GT13" s="584" t="s">
        <v>556</v>
      </c>
      <c r="GU13" s="563" t="s">
        <v>556</v>
      </c>
      <c r="GV13" s="583">
        <v>0</v>
      </c>
      <c r="GW13" s="563" t="s">
        <v>556</v>
      </c>
      <c r="GX13" s="582">
        <v>0.15</v>
      </c>
      <c r="GY13" s="563">
        <v>0</v>
      </c>
      <c r="HA13" s="585" t="s">
        <v>564</v>
      </c>
      <c r="HB13" s="584"/>
      <c r="HC13" s="584" t="s">
        <v>556</v>
      </c>
      <c r="HD13" s="563" t="s">
        <v>556</v>
      </c>
      <c r="HE13" s="583">
        <v>0</v>
      </c>
      <c r="HF13" s="563" t="s">
        <v>556</v>
      </c>
      <c r="HG13" s="582">
        <v>0.15</v>
      </c>
      <c r="HH13" s="563">
        <v>0</v>
      </c>
      <c r="HJ13" s="585" t="s">
        <v>564</v>
      </c>
      <c r="HK13" s="584"/>
      <c r="HL13" s="584" t="s">
        <v>556</v>
      </c>
      <c r="HM13" s="563" t="s">
        <v>556</v>
      </c>
      <c r="HN13" s="583">
        <v>0</v>
      </c>
      <c r="HO13" s="563" t="s">
        <v>556</v>
      </c>
      <c r="HP13" s="582">
        <v>0.15</v>
      </c>
      <c r="HQ13" s="563">
        <v>0</v>
      </c>
      <c r="HS13" s="585" t="s">
        <v>564</v>
      </c>
      <c r="HT13" s="584"/>
      <c r="HU13" s="584" t="s">
        <v>556</v>
      </c>
      <c r="HV13" s="563" t="s">
        <v>556</v>
      </c>
      <c r="HW13" s="583">
        <v>0</v>
      </c>
      <c r="HX13" s="563" t="s">
        <v>556</v>
      </c>
      <c r="HY13" s="582">
        <v>0.15</v>
      </c>
      <c r="HZ13" s="563">
        <v>0</v>
      </c>
      <c r="IB13" s="585" t="s">
        <v>564</v>
      </c>
      <c r="IC13" s="584"/>
      <c r="ID13" s="584" t="s">
        <v>556</v>
      </c>
      <c r="IE13" s="563" t="s">
        <v>556</v>
      </c>
      <c r="IF13" s="583">
        <v>0</v>
      </c>
      <c r="IG13" s="563" t="s">
        <v>556</v>
      </c>
      <c r="IH13" s="582">
        <v>0.15</v>
      </c>
      <c r="II13" s="563">
        <v>0</v>
      </c>
      <c r="IK13" s="585" t="s">
        <v>564</v>
      </c>
      <c r="IL13" s="584"/>
      <c r="IM13" s="584" t="s">
        <v>556</v>
      </c>
      <c r="IN13" s="563" t="s">
        <v>556</v>
      </c>
      <c r="IO13" s="583">
        <v>0</v>
      </c>
      <c r="IP13" s="563" t="s">
        <v>556</v>
      </c>
      <c r="IQ13" s="582">
        <v>0.15</v>
      </c>
      <c r="IR13" s="563">
        <v>0</v>
      </c>
      <c r="IT13" s="585" t="s">
        <v>564</v>
      </c>
      <c r="IU13" s="584"/>
      <c r="IV13" s="584" t="s">
        <v>556</v>
      </c>
      <c r="IW13" s="563" t="s">
        <v>556</v>
      </c>
      <c r="IX13" s="583">
        <v>0</v>
      </c>
      <c r="IY13" s="563" t="s">
        <v>556</v>
      </c>
      <c r="IZ13" s="582">
        <v>0.15</v>
      </c>
      <c r="JA13" s="563">
        <v>0</v>
      </c>
      <c r="JC13" s="585" t="s">
        <v>564</v>
      </c>
      <c r="JD13" s="584"/>
      <c r="JE13" s="584" t="s">
        <v>556</v>
      </c>
      <c r="JF13" s="563" t="s">
        <v>556</v>
      </c>
      <c r="JG13" s="583">
        <v>0</v>
      </c>
      <c r="JH13" s="563" t="s">
        <v>556</v>
      </c>
      <c r="JI13" s="582">
        <v>0.15</v>
      </c>
      <c r="JJ13" s="563">
        <v>0</v>
      </c>
      <c r="JL13" s="585" t="s">
        <v>564</v>
      </c>
      <c r="JM13" s="584"/>
      <c r="JN13" s="584" t="s">
        <v>556</v>
      </c>
      <c r="JO13" s="563" t="s">
        <v>556</v>
      </c>
      <c r="JP13" s="583">
        <v>0</v>
      </c>
      <c r="JQ13" s="563" t="s">
        <v>556</v>
      </c>
      <c r="JR13" s="582">
        <v>0.15</v>
      </c>
      <c r="JS13" s="563">
        <v>0</v>
      </c>
      <c r="JU13" s="585" t="s">
        <v>564</v>
      </c>
      <c r="JV13" s="584"/>
      <c r="JW13" s="584" t="s">
        <v>556</v>
      </c>
      <c r="JX13" s="563" t="s">
        <v>556</v>
      </c>
      <c r="JY13" s="583">
        <v>0</v>
      </c>
      <c r="JZ13" s="563" t="s">
        <v>556</v>
      </c>
      <c r="KA13" s="582">
        <v>0.15</v>
      </c>
      <c r="KB13" s="563">
        <v>0</v>
      </c>
      <c r="KD13" s="585" t="s">
        <v>564</v>
      </c>
      <c r="KE13" s="584"/>
      <c r="KF13" s="584" t="s">
        <v>556</v>
      </c>
      <c r="KG13" s="563" t="s">
        <v>556</v>
      </c>
      <c r="KH13" s="583">
        <v>0</v>
      </c>
      <c r="KI13" s="563" t="s">
        <v>556</v>
      </c>
      <c r="KJ13" s="582">
        <v>0.15</v>
      </c>
      <c r="KK13" s="563">
        <v>0</v>
      </c>
      <c r="KM13" s="585" t="s">
        <v>564</v>
      </c>
      <c r="KN13" s="584"/>
      <c r="KO13" s="584" t="s">
        <v>556</v>
      </c>
      <c r="KP13" s="563" t="s">
        <v>556</v>
      </c>
      <c r="KQ13" s="583">
        <v>0</v>
      </c>
      <c r="KR13" s="563" t="s">
        <v>556</v>
      </c>
      <c r="KS13" s="582">
        <v>0.15</v>
      </c>
      <c r="KT13" s="563">
        <v>0</v>
      </c>
      <c r="KV13" s="585" t="s">
        <v>564</v>
      </c>
      <c r="KW13" s="584"/>
      <c r="KX13" s="584" t="s">
        <v>556</v>
      </c>
      <c r="KY13" s="563" t="s">
        <v>556</v>
      </c>
      <c r="KZ13" s="583">
        <v>0</v>
      </c>
      <c r="LA13" s="563" t="s">
        <v>556</v>
      </c>
      <c r="LB13" s="582">
        <v>0.15</v>
      </c>
      <c r="LC13" s="563">
        <v>0</v>
      </c>
    </row>
    <row r="14" spans="2:315">
      <c r="B14" s="585" t="s">
        <v>563</v>
      </c>
      <c r="C14" s="584"/>
      <c r="D14" s="584" t="s">
        <v>556</v>
      </c>
      <c r="E14" s="563" t="s">
        <v>556</v>
      </c>
      <c r="F14" s="583">
        <v>1.1140099999999999</v>
      </c>
      <c r="G14" s="563" t="s">
        <v>556</v>
      </c>
      <c r="H14" s="582">
        <v>0.15</v>
      </c>
      <c r="I14" s="563">
        <v>0</v>
      </c>
      <c r="K14" s="585" t="s">
        <v>563</v>
      </c>
      <c r="L14" s="584"/>
      <c r="M14" s="584" t="s">
        <v>556</v>
      </c>
      <c r="N14" s="563" t="s">
        <v>556</v>
      </c>
      <c r="O14" s="583">
        <v>1.1886000000000001</v>
      </c>
      <c r="P14" s="563" t="s">
        <v>556</v>
      </c>
      <c r="Q14" s="582">
        <v>0.15</v>
      </c>
      <c r="R14" s="563">
        <v>0</v>
      </c>
      <c r="T14" s="587" t="s">
        <v>563</v>
      </c>
      <c r="U14" s="584">
        <v>24503.79</v>
      </c>
      <c r="V14" s="584">
        <v>3491.7900749999999</v>
      </c>
      <c r="W14" s="563">
        <v>21011.999925</v>
      </c>
      <c r="X14" s="583">
        <v>1.26614</v>
      </c>
      <c r="Y14" s="563">
        <v>16595.321153268989</v>
      </c>
      <c r="Z14" s="582">
        <v>0.15</v>
      </c>
      <c r="AA14" s="563">
        <v>2489.2981729903481</v>
      </c>
      <c r="AC14" s="587" t="s">
        <v>563</v>
      </c>
      <c r="AD14" s="584">
        <v>57774.97</v>
      </c>
      <c r="AE14" s="584">
        <v>8097.9332249999998</v>
      </c>
      <c r="AF14" s="563">
        <v>49677.036775</v>
      </c>
      <c r="AG14" s="583">
        <v>1.37876</v>
      </c>
      <c r="AH14" s="563">
        <v>36030.227722736374</v>
      </c>
      <c r="AI14" s="582">
        <v>0.15</v>
      </c>
      <c r="AJ14" s="563">
        <v>5404.5341584104599</v>
      </c>
      <c r="AL14" s="586" t="s">
        <v>563</v>
      </c>
      <c r="AM14" s="584">
        <v>46652.92</v>
      </c>
      <c r="AN14" s="584">
        <v>5748.8745999999992</v>
      </c>
      <c r="AO14" s="563">
        <v>40904.045400000003</v>
      </c>
      <c r="AP14" s="583">
        <v>1.5006900000000001</v>
      </c>
      <c r="AQ14" s="563">
        <v>27256.825460288266</v>
      </c>
      <c r="AR14" s="582">
        <v>0.15</v>
      </c>
      <c r="AS14" s="563">
        <v>4088.5238190432397</v>
      </c>
      <c r="AU14" s="586" t="s">
        <v>563</v>
      </c>
      <c r="AV14" s="584">
        <v>58460.22</v>
      </c>
      <c r="AW14" s="584">
        <v>7327.1043500000005</v>
      </c>
      <c r="AX14" s="563">
        <v>51133.11565</v>
      </c>
      <c r="AY14" s="583">
        <v>1.54569</v>
      </c>
      <c r="AZ14" s="563">
        <v>33081.09365396684</v>
      </c>
      <c r="BA14" s="582">
        <v>0.15</v>
      </c>
      <c r="BB14" s="563">
        <v>4962.1640480950255</v>
      </c>
      <c r="BD14" s="585" t="s">
        <v>563</v>
      </c>
      <c r="BE14" s="584">
        <v>77332.14</v>
      </c>
      <c r="BF14" s="584">
        <v>9994.4774499999985</v>
      </c>
      <c r="BG14" s="563">
        <v>67337.662550000008</v>
      </c>
      <c r="BH14" s="583">
        <v>1.6135600000000001</v>
      </c>
      <c r="BI14" s="563">
        <v>41732.357365080941</v>
      </c>
      <c r="BJ14" s="582">
        <v>0.15</v>
      </c>
      <c r="BK14" s="563">
        <v>6259.853604762141</v>
      </c>
      <c r="BM14" s="585" t="s">
        <v>563</v>
      </c>
      <c r="BN14" s="584">
        <v>89142.557499999995</v>
      </c>
      <c r="BO14" s="584">
        <v>6613.4748487500001</v>
      </c>
      <c r="BP14" s="563">
        <f t="shared" si="4"/>
        <v>82529.082651249992</v>
      </c>
      <c r="BQ14" s="583">
        <f>'Série Histórica IPCA'!J378</f>
        <v>1.6678779000028789</v>
      </c>
      <c r="BR14" s="631">
        <f t="shared" si="5"/>
        <v>49481.489413048483</v>
      </c>
      <c r="BS14" s="582">
        <v>0.15</v>
      </c>
      <c r="BT14" s="563">
        <f t="shared" si="6"/>
        <v>7422.2234119572722</v>
      </c>
      <c r="BV14" s="585" t="s">
        <v>563</v>
      </c>
      <c r="BW14" s="584">
        <v>91728.528333333335</v>
      </c>
      <c r="BX14" s="584">
        <v>6767.0177841666664</v>
      </c>
      <c r="BY14" s="563">
        <f t="shared" si="0"/>
        <v>84961.510549166676</v>
      </c>
      <c r="BZ14" s="583">
        <f>'Série Histórica IPCA'!J391</f>
        <v>1.7034440183092421</v>
      </c>
      <c r="CA14" s="631">
        <f t="shared" ref="CA14:CA15" si="18">BY14/BZ14</f>
        <v>49876.315062877999</v>
      </c>
      <c r="CB14" s="582">
        <v>0.15</v>
      </c>
      <c r="CC14" s="563">
        <f t="shared" si="8"/>
        <v>7481.4472594316994</v>
      </c>
      <c r="CE14" s="585" t="s">
        <v>563</v>
      </c>
      <c r="CF14" s="584">
        <v>133924.20000000001</v>
      </c>
      <c r="CG14" s="584">
        <v>11584.443299999999</v>
      </c>
      <c r="CH14" s="563">
        <f t="shared" si="9"/>
        <v>122339.75670000001</v>
      </c>
      <c r="CI14" s="583">
        <f>'Série Histórica IPCA'!J404</f>
        <v>1.8456317232246529</v>
      </c>
      <c r="CJ14" s="774">
        <f t="shared" si="17"/>
        <v>66286.115025293504</v>
      </c>
      <c r="CK14" s="582">
        <v>0.15</v>
      </c>
      <c r="CL14" s="563">
        <f t="shared" si="1"/>
        <v>9942.9172537940249</v>
      </c>
      <c r="CN14" s="585" t="s">
        <v>563</v>
      </c>
      <c r="CO14" s="584">
        <v>98540.830000000016</v>
      </c>
      <c r="CP14" s="584">
        <v>8523.7817950000008</v>
      </c>
      <c r="CQ14" s="563">
        <f t="shared" si="10"/>
        <v>90017.048205000014</v>
      </c>
      <c r="CR14" s="583">
        <v>2.0650195599256627</v>
      </c>
      <c r="CS14" s="563">
        <f t="shared" si="11"/>
        <v>43591.377995586867</v>
      </c>
      <c r="CT14" s="582">
        <v>0.15</v>
      </c>
      <c r="CU14" s="563">
        <f t="shared" si="12"/>
        <v>6538.7066993380295</v>
      </c>
      <c r="CW14" s="585" t="s">
        <v>563</v>
      </c>
      <c r="CX14" s="584">
        <v>25422.889999999996</v>
      </c>
      <c r="CY14" s="584">
        <v>2199.0799849999994</v>
      </c>
      <c r="CZ14" s="563">
        <f t="shared" si="13"/>
        <v>23223.810014999995</v>
      </c>
      <c r="DA14" s="583">
        <v>2.1303046102568857</v>
      </c>
      <c r="DB14" s="563">
        <f t="shared" si="14"/>
        <v>10901.638152207501</v>
      </c>
      <c r="DC14" s="582">
        <v>0.15</v>
      </c>
      <c r="DD14" s="563">
        <f t="shared" si="15"/>
        <v>1635.245722831125</v>
      </c>
      <c r="DF14" s="585" t="s">
        <v>563</v>
      </c>
      <c r="DG14" s="584">
        <v>60941.049999999996</v>
      </c>
      <c r="DH14" s="584">
        <f t="shared" ref="DH14:DH18" si="19">DG14*8.65%</f>
        <v>5271.4008249999997</v>
      </c>
      <c r="DI14" s="563">
        <f t="shared" si="16"/>
        <v>55669.649174999999</v>
      </c>
      <c r="DJ14" s="583">
        <v>2.2203666326540406</v>
      </c>
      <c r="DK14" s="877">
        <f t="shared" si="2"/>
        <v>25072.277864515174</v>
      </c>
      <c r="DL14" s="582">
        <v>0.15</v>
      </c>
      <c r="DM14" s="563">
        <f t="shared" si="3"/>
        <v>3760.8416796772758</v>
      </c>
      <c r="DO14" s="585" t="s">
        <v>563</v>
      </c>
      <c r="DP14" s="584"/>
      <c r="DQ14" s="584" t="s">
        <v>556</v>
      </c>
      <c r="DR14" s="563" t="s">
        <v>556</v>
      </c>
      <c r="DS14" s="583">
        <v>0</v>
      </c>
      <c r="DT14" s="563" t="s">
        <v>556</v>
      </c>
      <c r="DU14" s="582">
        <v>0.15</v>
      </c>
      <c r="DV14" s="563">
        <v>0</v>
      </c>
      <c r="DX14" s="585" t="s">
        <v>563</v>
      </c>
      <c r="DY14" s="584"/>
      <c r="DZ14" s="584" t="s">
        <v>556</v>
      </c>
      <c r="EA14" s="563" t="s">
        <v>556</v>
      </c>
      <c r="EB14" s="583">
        <v>0</v>
      </c>
      <c r="EC14" s="563" t="s">
        <v>556</v>
      </c>
      <c r="ED14" s="582">
        <v>0.15</v>
      </c>
      <c r="EE14" s="563">
        <v>0</v>
      </c>
      <c r="EG14" s="585" t="s">
        <v>563</v>
      </c>
      <c r="EH14" s="584"/>
      <c r="EI14" s="584" t="s">
        <v>556</v>
      </c>
      <c r="EJ14" s="563" t="s">
        <v>556</v>
      </c>
      <c r="EK14" s="583">
        <v>0</v>
      </c>
      <c r="EL14" s="563" t="s">
        <v>556</v>
      </c>
      <c r="EM14" s="582">
        <v>0.15</v>
      </c>
      <c r="EN14" s="563">
        <v>0</v>
      </c>
      <c r="EP14" s="585" t="s">
        <v>563</v>
      </c>
      <c r="EQ14" s="584"/>
      <c r="ER14" s="584" t="s">
        <v>556</v>
      </c>
      <c r="ES14" s="563" t="s">
        <v>556</v>
      </c>
      <c r="ET14" s="583">
        <v>0</v>
      </c>
      <c r="EU14" s="563" t="s">
        <v>556</v>
      </c>
      <c r="EV14" s="582">
        <v>0.15</v>
      </c>
      <c r="EW14" s="563">
        <v>0</v>
      </c>
      <c r="EY14" s="585" t="s">
        <v>563</v>
      </c>
      <c r="EZ14" s="584"/>
      <c r="FA14" s="584" t="s">
        <v>556</v>
      </c>
      <c r="FB14" s="563" t="s">
        <v>556</v>
      </c>
      <c r="FC14" s="583">
        <v>0</v>
      </c>
      <c r="FD14" s="563" t="s">
        <v>556</v>
      </c>
      <c r="FE14" s="582">
        <v>0.15</v>
      </c>
      <c r="FF14" s="563">
        <v>0</v>
      </c>
      <c r="FH14" s="585" t="s">
        <v>563</v>
      </c>
      <c r="FI14" s="584"/>
      <c r="FJ14" s="584" t="s">
        <v>556</v>
      </c>
      <c r="FK14" s="563" t="s">
        <v>556</v>
      </c>
      <c r="FL14" s="583">
        <v>0</v>
      </c>
      <c r="FM14" s="563" t="s">
        <v>556</v>
      </c>
      <c r="FN14" s="582">
        <v>0.15</v>
      </c>
      <c r="FO14" s="563">
        <v>0</v>
      </c>
      <c r="FQ14" s="585" t="s">
        <v>563</v>
      </c>
      <c r="FR14" s="584"/>
      <c r="FS14" s="584" t="s">
        <v>556</v>
      </c>
      <c r="FT14" s="563" t="s">
        <v>556</v>
      </c>
      <c r="FU14" s="583">
        <v>0</v>
      </c>
      <c r="FV14" s="563" t="s">
        <v>556</v>
      </c>
      <c r="FW14" s="582">
        <v>0.15</v>
      </c>
      <c r="FX14" s="563">
        <v>0</v>
      </c>
      <c r="FZ14" s="585" t="s">
        <v>563</v>
      </c>
      <c r="GA14" s="584"/>
      <c r="GB14" s="584" t="s">
        <v>556</v>
      </c>
      <c r="GC14" s="563" t="s">
        <v>556</v>
      </c>
      <c r="GD14" s="583">
        <v>0</v>
      </c>
      <c r="GE14" s="563" t="s">
        <v>556</v>
      </c>
      <c r="GF14" s="582">
        <v>0.15</v>
      </c>
      <c r="GG14" s="563">
        <v>0</v>
      </c>
      <c r="GI14" s="585" t="s">
        <v>563</v>
      </c>
      <c r="GJ14" s="584"/>
      <c r="GK14" s="584" t="s">
        <v>556</v>
      </c>
      <c r="GL14" s="563" t="s">
        <v>556</v>
      </c>
      <c r="GM14" s="583">
        <v>0</v>
      </c>
      <c r="GN14" s="563" t="s">
        <v>556</v>
      </c>
      <c r="GO14" s="582">
        <v>0.15</v>
      </c>
      <c r="GP14" s="563">
        <v>0</v>
      </c>
      <c r="GR14" s="585" t="s">
        <v>563</v>
      </c>
      <c r="GS14" s="584"/>
      <c r="GT14" s="584" t="s">
        <v>556</v>
      </c>
      <c r="GU14" s="563" t="s">
        <v>556</v>
      </c>
      <c r="GV14" s="583">
        <v>0</v>
      </c>
      <c r="GW14" s="563" t="s">
        <v>556</v>
      </c>
      <c r="GX14" s="582">
        <v>0.15</v>
      </c>
      <c r="GY14" s="563">
        <v>0</v>
      </c>
      <c r="HA14" s="585" t="s">
        <v>563</v>
      </c>
      <c r="HB14" s="584"/>
      <c r="HC14" s="584" t="s">
        <v>556</v>
      </c>
      <c r="HD14" s="563" t="s">
        <v>556</v>
      </c>
      <c r="HE14" s="583">
        <v>0</v>
      </c>
      <c r="HF14" s="563" t="s">
        <v>556</v>
      </c>
      <c r="HG14" s="582">
        <v>0.15</v>
      </c>
      <c r="HH14" s="563">
        <v>0</v>
      </c>
      <c r="HJ14" s="585" t="s">
        <v>563</v>
      </c>
      <c r="HK14" s="584"/>
      <c r="HL14" s="584" t="s">
        <v>556</v>
      </c>
      <c r="HM14" s="563" t="s">
        <v>556</v>
      </c>
      <c r="HN14" s="583">
        <v>0</v>
      </c>
      <c r="HO14" s="563" t="s">
        <v>556</v>
      </c>
      <c r="HP14" s="582">
        <v>0.15</v>
      </c>
      <c r="HQ14" s="563">
        <v>0</v>
      </c>
      <c r="HS14" s="585" t="s">
        <v>563</v>
      </c>
      <c r="HT14" s="584"/>
      <c r="HU14" s="584" t="s">
        <v>556</v>
      </c>
      <c r="HV14" s="563" t="s">
        <v>556</v>
      </c>
      <c r="HW14" s="583">
        <v>0</v>
      </c>
      <c r="HX14" s="563" t="s">
        <v>556</v>
      </c>
      <c r="HY14" s="582">
        <v>0.15</v>
      </c>
      <c r="HZ14" s="563">
        <v>0</v>
      </c>
      <c r="IB14" s="585" t="s">
        <v>563</v>
      </c>
      <c r="IC14" s="584"/>
      <c r="ID14" s="584" t="s">
        <v>556</v>
      </c>
      <c r="IE14" s="563" t="s">
        <v>556</v>
      </c>
      <c r="IF14" s="583">
        <v>0</v>
      </c>
      <c r="IG14" s="563" t="s">
        <v>556</v>
      </c>
      <c r="IH14" s="582">
        <v>0.15</v>
      </c>
      <c r="II14" s="563">
        <v>0</v>
      </c>
      <c r="IK14" s="585" t="s">
        <v>563</v>
      </c>
      <c r="IL14" s="584"/>
      <c r="IM14" s="584" t="s">
        <v>556</v>
      </c>
      <c r="IN14" s="563" t="s">
        <v>556</v>
      </c>
      <c r="IO14" s="583">
        <v>0</v>
      </c>
      <c r="IP14" s="563" t="s">
        <v>556</v>
      </c>
      <c r="IQ14" s="582">
        <v>0.15</v>
      </c>
      <c r="IR14" s="563">
        <v>0</v>
      </c>
      <c r="IT14" s="585" t="s">
        <v>563</v>
      </c>
      <c r="IU14" s="584"/>
      <c r="IV14" s="584" t="s">
        <v>556</v>
      </c>
      <c r="IW14" s="563" t="s">
        <v>556</v>
      </c>
      <c r="IX14" s="583">
        <v>0</v>
      </c>
      <c r="IY14" s="563" t="s">
        <v>556</v>
      </c>
      <c r="IZ14" s="582">
        <v>0.15</v>
      </c>
      <c r="JA14" s="563">
        <v>0</v>
      </c>
      <c r="JC14" s="585" t="s">
        <v>563</v>
      </c>
      <c r="JD14" s="584"/>
      <c r="JE14" s="584" t="s">
        <v>556</v>
      </c>
      <c r="JF14" s="563" t="s">
        <v>556</v>
      </c>
      <c r="JG14" s="583">
        <v>0</v>
      </c>
      <c r="JH14" s="563" t="s">
        <v>556</v>
      </c>
      <c r="JI14" s="582">
        <v>0.15</v>
      </c>
      <c r="JJ14" s="563">
        <v>0</v>
      </c>
      <c r="JL14" s="585" t="s">
        <v>563</v>
      </c>
      <c r="JM14" s="584"/>
      <c r="JN14" s="584" t="s">
        <v>556</v>
      </c>
      <c r="JO14" s="563" t="s">
        <v>556</v>
      </c>
      <c r="JP14" s="583">
        <v>0</v>
      </c>
      <c r="JQ14" s="563" t="s">
        <v>556</v>
      </c>
      <c r="JR14" s="582">
        <v>0.15</v>
      </c>
      <c r="JS14" s="563">
        <v>0</v>
      </c>
      <c r="JU14" s="585" t="s">
        <v>563</v>
      </c>
      <c r="JV14" s="584"/>
      <c r="JW14" s="584" t="s">
        <v>556</v>
      </c>
      <c r="JX14" s="563" t="s">
        <v>556</v>
      </c>
      <c r="JY14" s="583">
        <v>0</v>
      </c>
      <c r="JZ14" s="563" t="s">
        <v>556</v>
      </c>
      <c r="KA14" s="582">
        <v>0.15</v>
      </c>
      <c r="KB14" s="563">
        <v>0</v>
      </c>
      <c r="KD14" s="585" t="s">
        <v>563</v>
      </c>
      <c r="KE14" s="584"/>
      <c r="KF14" s="584" t="s">
        <v>556</v>
      </c>
      <c r="KG14" s="563" t="s">
        <v>556</v>
      </c>
      <c r="KH14" s="583">
        <v>0</v>
      </c>
      <c r="KI14" s="563" t="s">
        <v>556</v>
      </c>
      <c r="KJ14" s="582">
        <v>0.15</v>
      </c>
      <c r="KK14" s="563">
        <v>0</v>
      </c>
      <c r="KM14" s="585" t="s">
        <v>563</v>
      </c>
      <c r="KN14" s="584"/>
      <c r="KO14" s="584" t="s">
        <v>556</v>
      </c>
      <c r="KP14" s="563" t="s">
        <v>556</v>
      </c>
      <c r="KQ14" s="583">
        <v>0</v>
      </c>
      <c r="KR14" s="563" t="s">
        <v>556</v>
      </c>
      <c r="KS14" s="582">
        <v>0.15</v>
      </c>
      <c r="KT14" s="563">
        <v>0</v>
      </c>
      <c r="KV14" s="585" t="s">
        <v>563</v>
      </c>
      <c r="KW14" s="584"/>
      <c r="KX14" s="584" t="s">
        <v>556</v>
      </c>
      <c r="KY14" s="563" t="s">
        <v>556</v>
      </c>
      <c r="KZ14" s="583">
        <v>0</v>
      </c>
      <c r="LA14" s="563" t="s">
        <v>556</v>
      </c>
      <c r="LB14" s="582">
        <v>0.15</v>
      </c>
      <c r="LC14" s="563">
        <v>0</v>
      </c>
    </row>
    <row r="15" spans="2:315">
      <c r="B15" s="585" t="s">
        <v>562</v>
      </c>
      <c r="C15" s="584"/>
      <c r="D15" s="584" t="s">
        <v>556</v>
      </c>
      <c r="E15" s="563" t="s">
        <v>556</v>
      </c>
      <c r="F15" s="583">
        <v>1.1188</v>
      </c>
      <c r="G15" s="563" t="s">
        <v>556</v>
      </c>
      <c r="H15" s="582">
        <v>0.15</v>
      </c>
      <c r="I15" s="563">
        <v>0</v>
      </c>
      <c r="K15" s="585" t="s">
        <v>562</v>
      </c>
      <c r="L15" s="584"/>
      <c r="M15" s="584" t="s">
        <v>556</v>
      </c>
      <c r="N15" s="563" t="s">
        <v>556</v>
      </c>
      <c r="O15" s="583">
        <v>1.18896</v>
      </c>
      <c r="P15" s="563" t="s">
        <v>556</v>
      </c>
      <c r="Q15" s="582">
        <v>0.15</v>
      </c>
      <c r="R15" s="563">
        <v>0</v>
      </c>
      <c r="T15" s="587" t="s">
        <v>562</v>
      </c>
      <c r="U15" s="584">
        <v>2728.8</v>
      </c>
      <c r="V15" s="584">
        <v>388.85399999999998</v>
      </c>
      <c r="W15" s="563">
        <v>2339.9460000000004</v>
      </c>
      <c r="X15" s="583">
        <v>1.26627</v>
      </c>
      <c r="Y15" s="563">
        <v>1847.9044753488595</v>
      </c>
      <c r="Z15" s="582">
        <v>0.15</v>
      </c>
      <c r="AA15" s="563">
        <v>277.1856713023289</v>
      </c>
      <c r="AC15" s="587" t="s">
        <v>562</v>
      </c>
      <c r="AD15" s="584">
        <v>51889.13</v>
      </c>
      <c r="AE15" s="584">
        <v>7259.2010250000003</v>
      </c>
      <c r="AF15" s="563">
        <v>44629.928974999995</v>
      </c>
      <c r="AG15" s="583">
        <v>1.3873</v>
      </c>
      <c r="AH15" s="563">
        <v>32170.351744395586</v>
      </c>
      <c r="AI15" s="582">
        <v>0.15</v>
      </c>
      <c r="AJ15" s="563">
        <v>4825.5527616593381</v>
      </c>
      <c r="AL15" s="586" t="s">
        <v>562</v>
      </c>
      <c r="AM15" s="584">
        <v>57808.58</v>
      </c>
      <c r="AN15" s="584">
        <v>7338.546150000001</v>
      </c>
      <c r="AO15" s="563">
        <v>50470.03385</v>
      </c>
      <c r="AP15" s="583">
        <v>1.5084900000000001</v>
      </c>
      <c r="AQ15" s="563">
        <v>33457.320797618806</v>
      </c>
      <c r="AR15" s="582">
        <v>0.15</v>
      </c>
      <c r="AS15" s="563">
        <v>5018.5981196428211</v>
      </c>
      <c r="AU15" s="586" t="s">
        <v>562</v>
      </c>
      <c r="AV15" s="584">
        <v>70939.39</v>
      </c>
      <c r="AW15" s="584">
        <v>9105.3860750000022</v>
      </c>
      <c r="AX15" s="563">
        <v>61834.003924999997</v>
      </c>
      <c r="AY15" s="583">
        <v>1.5494000000000001</v>
      </c>
      <c r="AZ15" s="563">
        <v>39908.3541532206</v>
      </c>
      <c r="BA15" s="582">
        <v>0.15</v>
      </c>
      <c r="BB15" s="563">
        <v>5986.2531229830902</v>
      </c>
      <c r="BD15" s="585" t="s">
        <v>562</v>
      </c>
      <c r="BE15" s="584">
        <v>104113.44</v>
      </c>
      <c r="BF15" s="584">
        <v>13810.8127</v>
      </c>
      <c r="BG15" s="563">
        <v>90302.627300000007</v>
      </c>
      <c r="BH15" s="583">
        <v>1.6188899999999999</v>
      </c>
      <c r="BI15" s="563">
        <v>55780.582559655079</v>
      </c>
      <c r="BJ15" s="582">
        <v>0.15</v>
      </c>
      <c r="BK15" s="563">
        <v>8367.087383948261</v>
      </c>
      <c r="BM15" s="585" t="s">
        <v>562</v>
      </c>
      <c r="BN15" s="584">
        <v>101575.20750000003</v>
      </c>
      <c r="BO15" s="584">
        <v>7688.8990737499998</v>
      </c>
      <c r="BP15" s="563">
        <f t="shared" si="4"/>
        <v>93886.308426250034</v>
      </c>
      <c r="BQ15" s="583">
        <f>'Série Histórica IPCA'!J379</f>
        <v>1.6710477914716806</v>
      </c>
      <c r="BR15" s="631">
        <f t="shared" si="5"/>
        <v>56184.095335516999</v>
      </c>
      <c r="BS15" s="582">
        <v>0.15</v>
      </c>
      <c r="BT15" s="563">
        <f t="shared" si="6"/>
        <v>8427.6143003275502</v>
      </c>
      <c r="BV15" s="585" t="s">
        <v>562</v>
      </c>
      <c r="BW15" s="584">
        <v>99243.17833333333</v>
      </c>
      <c r="BX15" s="584">
        <v>7417.0350091666678</v>
      </c>
      <c r="BY15" s="563">
        <f t="shared" si="0"/>
        <v>91826.143324166667</v>
      </c>
      <c r="BZ15" s="583">
        <f>'Série Histórica IPCA'!J392</f>
        <v>1.709575887073816</v>
      </c>
      <c r="CA15" s="631">
        <f t="shared" si="18"/>
        <v>53712.820833791862</v>
      </c>
      <c r="CB15" s="582">
        <v>0.15</v>
      </c>
      <c r="CC15" s="563">
        <f t="shared" si="8"/>
        <v>8056.923125068779</v>
      </c>
      <c r="CE15" s="585" t="s">
        <v>562</v>
      </c>
      <c r="CF15" s="584">
        <v>100886.65</v>
      </c>
      <c r="CG15" s="584">
        <v>8726.6952250000013</v>
      </c>
      <c r="CH15" s="563">
        <f t="shared" si="9"/>
        <v>92159.954774999991</v>
      </c>
      <c r="CI15" s="583">
        <f>'Série Histórica IPCA'!J405</f>
        <v>1.8633492094463406</v>
      </c>
      <c r="CJ15" s="774">
        <f t="shared" si="17"/>
        <v>49459.303874867124</v>
      </c>
      <c r="CK15" s="582">
        <v>0.15</v>
      </c>
      <c r="CL15" s="563">
        <f t="shared" si="1"/>
        <v>7418.8955812300683</v>
      </c>
      <c r="CN15" s="585" t="s">
        <v>562</v>
      </c>
      <c r="CO15" s="584">
        <v>172239.82</v>
      </c>
      <c r="CP15" s="584">
        <v>14898.744429999999</v>
      </c>
      <c r="CQ15" s="563">
        <f t="shared" si="10"/>
        <v>157341.07557000002</v>
      </c>
      <c r="CR15" s="583">
        <v>2.0509773565472171</v>
      </c>
      <c r="CS15" s="563">
        <f t="shared" si="11"/>
        <v>76715.169510638007</v>
      </c>
      <c r="CT15" s="582">
        <v>0.15</v>
      </c>
      <c r="CU15" s="563">
        <f t="shared" si="12"/>
        <v>11507.275426595701</v>
      </c>
      <c r="CW15" s="585" t="s">
        <v>562</v>
      </c>
      <c r="CX15" s="584">
        <v>50617.47</v>
      </c>
      <c r="CY15" s="584">
        <v>4378.4111549999998</v>
      </c>
      <c r="CZ15" s="563">
        <f t="shared" si="13"/>
        <v>46239.058845</v>
      </c>
      <c r="DA15" s="583">
        <v>2.1328603552453549</v>
      </c>
      <c r="DB15" s="563">
        <f t="shared" si="14"/>
        <v>21679.365332701709</v>
      </c>
      <c r="DC15" s="582">
        <v>0.15</v>
      </c>
      <c r="DD15" s="563">
        <f t="shared" si="15"/>
        <v>3251.9047999052564</v>
      </c>
      <c r="DF15" s="585" t="s">
        <v>562</v>
      </c>
      <c r="DG15" s="584">
        <v>373105.93</v>
      </c>
      <c r="DH15" s="584">
        <f t="shared" si="19"/>
        <v>32273.662945000004</v>
      </c>
      <c r="DI15" s="563">
        <f t="shared" si="16"/>
        <v>340832.267055</v>
      </c>
      <c r="DJ15" s="583">
        <v>2.2288047493994481</v>
      </c>
      <c r="DK15" s="877">
        <f t="shared" si="2"/>
        <v>152921.54557138184</v>
      </c>
      <c r="DL15" s="582">
        <v>0.15</v>
      </c>
      <c r="DM15" s="563">
        <f t="shared" si="3"/>
        <v>22938.231835707276</v>
      </c>
      <c r="DO15" s="585" t="s">
        <v>562</v>
      </c>
      <c r="DP15" s="584"/>
      <c r="DQ15" s="584" t="s">
        <v>556</v>
      </c>
      <c r="DR15" s="563" t="s">
        <v>556</v>
      </c>
      <c r="DS15" s="583">
        <v>0</v>
      </c>
      <c r="DT15" s="563" t="s">
        <v>556</v>
      </c>
      <c r="DU15" s="582">
        <v>0.15</v>
      </c>
      <c r="DV15" s="563">
        <v>0</v>
      </c>
      <c r="DX15" s="585" t="s">
        <v>562</v>
      </c>
      <c r="DY15" s="584"/>
      <c r="DZ15" s="584" t="s">
        <v>556</v>
      </c>
      <c r="EA15" s="563" t="s">
        <v>556</v>
      </c>
      <c r="EB15" s="583">
        <v>0</v>
      </c>
      <c r="EC15" s="563" t="s">
        <v>556</v>
      </c>
      <c r="ED15" s="582">
        <v>0.15</v>
      </c>
      <c r="EE15" s="563">
        <v>0</v>
      </c>
      <c r="EG15" s="585" t="s">
        <v>562</v>
      </c>
      <c r="EH15" s="584"/>
      <c r="EI15" s="584" t="s">
        <v>556</v>
      </c>
      <c r="EJ15" s="563" t="s">
        <v>556</v>
      </c>
      <c r="EK15" s="583">
        <v>0</v>
      </c>
      <c r="EL15" s="563" t="s">
        <v>556</v>
      </c>
      <c r="EM15" s="582">
        <v>0.15</v>
      </c>
      <c r="EN15" s="563">
        <v>0</v>
      </c>
      <c r="EP15" s="585" t="s">
        <v>562</v>
      </c>
      <c r="EQ15" s="584"/>
      <c r="ER15" s="584" t="s">
        <v>556</v>
      </c>
      <c r="ES15" s="563" t="s">
        <v>556</v>
      </c>
      <c r="ET15" s="583">
        <v>0</v>
      </c>
      <c r="EU15" s="563" t="s">
        <v>556</v>
      </c>
      <c r="EV15" s="582">
        <v>0.15</v>
      </c>
      <c r="EW15" s="563">
        <v>0</v>
      </c>
      <c r="EY15" s="585" t="s">
        <v>562</v>
      </c>
      <c r="EZ15" s="584"/>
      <c r="FA15" s="584" t="s">
        <v>556</v>
      </c>
      <c r="FB15" s="563" t="s">
        <v>556</v>
      </c>
      <c r="FC15" s="583">
        <v>0</v>
      </c>
      <c r="FD15" s="563" t="s">
        <v>556</v>
      </c>
      <c r="FE15" s="582">
        <v>0.15</v>
      </c>
      <c r="FF15" s="563">
        <v>0</v>
      </c>
      <c r="FH15" s="585" t="s">
        <v>562</v>
      </c>
      <c r="FI15" s="584"/>
      <c r="FJ15" s="584" t="s">
        <v>556</v>
      </c>
      <c r="FK15" s="563" t="s">
        <v>556</v>
      </c>
      <c r="FL15" s="583">
        <v>0</v>
      </c>
      <c r="FM15" s="563" t="s">
        <v>556</v>
      </c>
      <c r="FN15" s="582">
        <v>0.15</v>
      </c>
      <c r="FO15" s="563">
        <v>0</v>
      </c>
      <c r="FQ15" s="585" t="s">
        <v>562</v>
      </c>
      <c r="FR15" s="584"/>
      <c r="FS15" s="584" t="s">
        <v>556</v>
      </c>
      <c r="FT15" s="563" t="s">
        <v>556</v>
      </c>
      <c r="FU15" s="583">
        <v>0</v>
      </c>
      <c r="FV15" s="563" t="s">
        <v>556</v>
      </c>
      <c r="FW15" s="582">
        <v>0.15</v>
      </c>
      <c r="FX15" s="563">
        <v>0</v>
      </c>
      <c r="FZ15" s="585" t="s">
        <v>562</v>
      </c>
      <c r="GA15" s="584"/>
      <c r="GB15" s="584" t="s">
        <v>556</v>
      </c>
      <c r="GC15" s="563" t="s">
        <v>556</v>
      </c>
      <c r="GD15" s="583">
        <v>0</v>
      </c>
      <c r="GE15" s="563" t="s">
        <v>556</v>
      </c>
      <c r="GF15" s="582">
        <v>0.15</v>
      </c>
      <c r="GG15" s="563">
        <v>0</v>
      </c>
      <c r="GI15" s="585" t="s">
        <v>562</v>
      </c>
      <c r="GJ15" s="584"/>
      <c r="GK15" s="584" t="s">
        <v>556</v>
      </c>
      <c r="GL15" s="563" t="s">
        <v>556</v>
      </c>
      <c r="GM15" s="583">
        <v>0</v>
      </c>
      <c r="GN15" s="563" t="s">
        <v>556</v>
      </c>
      <c r="GO15" s="582">
        <v>0.15</v>
      </c>
      <c r="GP15" s="563">
        <v>0</v>
      </c>
      <c r="GR15" s="585" t="s">
        <v>562</v>
      </c>
      <c r="GS15" s="584"/>
      <c r="GT15" s="584" t="s">
        <v>556</v>
      </c>
      <c r="GU15" s="563" t="s">
        <v>556</v>
      </c>
      <c r="GV15" s="583">
        <v>0</v>
      </c>
      <c r="GW15" s="563" t="s">
        <v>556</v>
      </c>
      <c r="GX15" s="582">
        <v>0.15</v>
      </c>
      <c r="GY15" s="563">
        <v>0</v>
      </c>
      <c r="HA15" s="585" t="s">
        <v>562</v>
      </c>
      <c r="HB15" s="584"/>
      <c r="HC15" s="584" t="s">
        <v>556</v>
      </c>
      <c r="HD15" s="563" t="s">
        <v>556</v>
      </c>
      <c r="HE15" s="583">
        <v>0</v>
      </c>
      <c r="HF15" s="563" t="s">
        <v>556</v>
      </c>
      <c r="HG15" s="582">
        <v>0.15</v>
      </c>
      <c r="HH15" s="563">
        <v>0</v>
      </c>
      <c r="HJ15" s="585" t="s">
        <v>562</v>
      </c>
      <c r="HK15" s="584"/>
      <c r="HL15" s="584" t="s">
        <v>556</v>
      </c>
      <c r="HM15" s="563" t="s">
        <v>556</v>
      </c>
      <c r="HN15" s="583">
        <v>0</v>
      </c>
      <c r="HO15" s="563" t="s">
        <v>556</v>
      </c>
      <c r="HP15" s="582">
        <v>0.15</v>
      </c>
      <c r="HQ15" s="563">
        <v>0</v>
      </c>
      <c r="HS15" s="585" t="s">
        <v>562</v>
      </c>
      <c r="HT15" s="584"/>
      <c r="HU15" s="584" t="s">
        <v>556</v>
      </c>
      <c r="HV15" s="563" t="s">
        <v>556</v>
      </c>
      <c r="HW15" s="583">
        <v>0</v>
      </c>
      <c r="HX15" s="563" t="s">
        <v>556</v>
      </c>
      <c r="HY15" s="582">
        <v>0.15</v>
      </c>
      <c r="HZ15" s="563">
        <v>0</v>
      </c>
      <c r="IB15" s="585" t="s">
        <v>562</v>
      </c>
      <c r="IC15" s="584"/>
      <c r="ID15" s="584" t="s">
        <v>556</v>
      </c>
      <c r="IE15" s="563" t="s">
        <v>556</v>
      </c>
      <c r="IF15" s="583">
        <v>0</v>
      </c>
      <c r="IG15" s="563" t="s">
        <v>556</v>
      </c>
      <c r="IH15" s="582">
        <v>0.15</v>
      </c>
      <c r="II15" s="563">
        <v>0</v>
      </c>
      <c r="IK15" s="585" t="s">
        <v>562</v>
      </c>
      <c r="IL15" s="584"/>
      <c r="IM15" s="584" t="s">
        <v>556</v>
      </c>
      <c r="IN15" s="563" t="s">
        <v>556</v>
      </c>
      <c r="IO15" s="583">
        <v>0</v>
      </c>
      <c r="IP15" s="563" t="s">
        <v>556</v>
      </c>
      <c r="IQ15" s="582">
        <v>0.15</v>
      </c>
      <c r="IR15" s="563">
        <v>0</v>
      </c>
      <c r="IT15" s="585" t="s">
        <v>562</v>
      </c>
      <c r="IU15" s="584"/>
      <c r="IV15" s="584" t="s">
        <v>556</v>
      </c>
      <c r="IW15" s="563" t="s">
        <v>556</v>
      </c>
      <c r="IX15" s="583">
        <v>0</v>
      </c>
      <c r="IY15" s="563" t="s">
        <v>556</v>
      </c>
      <c r="IZ15" s="582">
        <v>0.15</v>
      </c>
      <c r="JA15" s="563">
        <v>0</v>
      </c>
      <c r="JC15" s="585" t="s">
        <v>562</v>
      </c>
      <c r="JD15" s="584"/>
      <c r="JE15" s="584" t="s">
        <v>556</v>
      </c>
      <c r="JF15" s="563" t="s">
        <v>556</v>
      </c>
      <c r="JG15" s="583">
        <v>0</v>
      </c>
      <c r="JH15" s="563" t="s">
        <v>556</v>
      </c>
      <c r="JI15" s="582">
        <v>0.15</v>
      </c>
      <c r="JJ15" s="563">
        <v>0</v>
      </c>
      <c r="JL15" s="585" t="s">
        <v>562</v>
      </c>
      <c r="JM15" s="584"/>
      <c r="JN15" s="584" t="s">
        <v>556</v>
      </c>
      <c r="JO15" s="563" t="s">
        <v>556</v>
      </c>
      <c r="JP15" s="583">
        <v>0</v>
      </c>
      <c r="JQ15" s="563" t="s">
        <v>556</v>
      </c>
      <c r="JR15" s="582">
        <v>0.15</v>
      </c>
      <c r="JS15" s="563">
        <v>0</v>
      </c>
      <c r="JU15" s="585" t="s">
        <v>562</v>
      </c>
      <c r="JV15" s="584"/>
      <c r="JW15" s="584" t="s">
        <v>556</v>
      </c>
      <c r="JX15" s="563" t="s">
        <v>556</v>
      </c>
      <c r="JY15" s="583">
        <v>0</v>
      </c>
      <c r="JZ15" s="563" t="s">
        <v>556</v>
      </c>
      <c r="KA15" s="582">
        <v>0.15</v>
      </c>
      <c r="KB15" s="563">
        <v>0</v>
      </c>
      <c r="KD15" s="585" t="s">
        <v>562</v>
      </c>
      <c r="KE15" s="584"/>
      <c r="KF15" s="584" t="s">
        <v>556</v>
      </c>
      <c r="KG15" s="563" t="s">
        <v>556</v>
      </c>
      <c r="KH15" s="583">
        <v>0</v>
      </c>
      <c r="KI15" s="563" t="s">
        <v>556</v>
      </c>
      <c r="KJ15" s="582">
        <v>0.15</v>
      </c>
      <c r="KK15" s="563">
        <v>0</v>
      </c>
      <c r="KM15" s="585" t="s">
        <v>562</v>
      </c>
      <c r="KN15" s="584"/>
      <c r="KO15" s="584" t="s">
        <v>556</v>
      </c>
      <c r="KP15" s="563" t="s">
        <v>556</v>
      </c>
      <c r="KQ15" s="583">
        <v>0</v>
      </c>
      <c r="KR15" s="563" t="s">
        <v>556</v>
      </c>
      <c r="KS15" s="582">
        <v>0.15</v>
      </c>
      <c r="KT15" s="563">
        <v>0</v>
      </c>
      <c r="KV15" s="585" t="s">
        <v>562</v>
      </c>
      <c r="KW15" s="584"/>
      <c r="KX15" s="584" t="s">
        <v>556</v>
      </c>
      <c r="KY15" s="563" t="s">
        <v>556</v>
      </c>
      <c r="KZ15" s="583">
        <v>0</v>
      </c>
      <c r="LA15" s="563" t="s">
        <v>556</v>
      </c>
      <c r="LB15" s="582">
        <v>0.15</v>
      </c>
      <c r="LC15" s="563">
        <v>0</v>
      </c>
    </row>
    <row r="16" spans="2:315">
      <c r="B16" s="585" t="s">
        <v>561</v>
      </c>
      <c r="C16" s="584"/>
      <c r="D16" s="584" t="s">
        <v>556</v>
      </c>
      <c r="E16" s="563" t="s">
        <v>556</v>
      </c>
      <c r="F16" s="583">
        <v>1.1233900000000001</v>
      </c>
      <c r="G16" s="563" t="s">
        <v>556</v>
      </c>
      <c r="H16" s="582">
        <v>0.15</v>
      </c>
      <c r="I16" s="563">
        <v>0</v>
      </c>
      <c r="K16" s="585" t="s">
        <v>561</v>
      </c>
      <c r="L16" s="584"/>
      <c r="M16" s="584" t="s">
        <v>556</v>
      </c>
      <c r="N16" s="563" t="s">
        <v>556</v>
      </c>
      <c r="O16" s="583">
        <v>1.19181</v>
      </c>
      <c r="P16" s="563" t="s">
        <v>556</v>
      </c>
      <c r="Q16" s="582">
        <v>0.15</v>
      </c>
      <c r="R16" s="563">
        <v>0</v>
      </c>
      <c r="T16" s="587" t="s">
        <v>561</v>
      </c>
      <c r="U16" s="584">
        <v>2000</v>
      </c>
      <c r="V16" s="584">
        <v>285</v>
      </c>
      <c r="W16" s="563">
        <v>1715</v>
      </c>
      <c r="X16" s="583">
        <v>1.2694300000000001</v>
      </c>
      <c r="Y16" s="563">
        <v>1351.0000551428593</v>
      </c>
      <c r="Z16" s="582">
        <v>0.15</v>
      </c>
      <c r="AA16" s="563">
        <v>202.6500082714289</v>
      </c>
      <c r="AC16" s="587" t="s">
        <v>561</v>
      </c>
      <c r="AD16" s="584">
        <v>31178.66</v>
      </c>
      <c r="AE16" s="584">
        <v>4307.9590499999995</v>
      </c>
      <c r="AF16" s="563">
        <v>26870.700949999999</v>
      </c>
      <c r="AG16" s="583">
        <v>1.39035</v>
      </c>
      <c r="AH16" s="563">
        <v>19326.57312906822</v>
      </c>
      <c r="AI16" s="582">
        <v>0.15</v>
      </c>
      <c r="AJ16" s="563">
        <v>2898.985969360233</v>
      </c>
      <c r="AL16" s="586" t="s">
        <v>561</v>
      </c>
      <c r="AM16" s="584">
        <v>40226.01</v>
      </c>
      <c r="AN16" s="584">
        <v>4833.0399250000009</v>
      </c>
      <c r="AO16" s="563">
        <v>35392.970075000005</v>
      </c>
      <c r="AP16" s="583">
        <v>1.5151300000000001</v>
      </c>
      <c r="AQ16" s="563">
        <v>23359.691957125793</v>
      </c>
      <c r="AR16" s="582">
        <v>0.15</v>
      </c>
      <c r="AS16" s="563">
        <v>3503.9537935688691</v>
      </c>
      <c r="AU16" s="586" t="s">
        <v>561</v>
      </c>
      <c r="AV16" s="584">
        <v>66196.509999999995</v>
      </c>
      <c r="AW16" s="584">
        <v>8429.5256750000008</v>
      </c>
      <c r="AX16" s="563">
        <v>57766.984324999998</v>
      </c>
      <c r="AY16" s="583">
        <v>1.5523400000000001</v>
      </c>
      <c r="AZ16" s="563">
        <v>37212.842756741433</v>
      </c>
      <c r="BA16" s="582">
        <v>0.15</v>
      </c>
      <c r="BB16" s="563">
        <v>5581.9264135112144</v>
      </c>
      <c r="BD16" s="585" t="s">
        <v>561</v>
      </c>
      <c r="BE16" s="584">
        <v>71306.720000000001</v>
      </c>
      <c r="BF16" s="584">
        <v>9135.8551000000007</v>
      </c>
      <c r="BG16" s="563">
        <v>62170.8649</v>
      </c>
      <c r="BH16" s="583">
        <v>1.6174315242667827</v>
      </c>
      <c r="BI16" s="563">
        <f>BG16/BH16</f>
        <v>38438.019766050631</v>
      </c>
      <c r="BJ16" s="582">
        <v>0.15</v>
      </c>
      <c r="BK16" s="563">
        <f>BI16*BJ16</f>
        <v>5765.7029649075948</v>
      </c>
      <c r="BM16" s="585" t="s">
        <v>561</v>
      </c>
      <c r="BN16" s="584">
        <v>124169.85750000001</v>
      </c>
      <c r="BO16" s="584">
        <v>9643.3362987500004</v>
      </c>
      <c r="BP16" s="563">
        <f t="shared" si="4"/>
        <v>114526.52120125001</v>
      </c>
      <c r="BQ16" s="583">
        <f>'Série Histórica IPCA'!J380</f>
        <v>1.6728870322330942</v>
      </c>
      <c r="BR16" s="631">
        <f t="shared" si="5"/>
        <v>68460.403478871784</v>
      </c>
      <c r="BS16" s="582">
        <v>0.15</v>
      </c>
      <c r="BT16" s="563">
        <f t="shared" si="6"/>
        <v>10269.060521830766</v>
      </c>
      <c r="BV16" s="585" t="s">
        <v>561</v>
      </c>
      <c r="BW16" s="584">
        <v>127300.5383333333</v>
      </c>
      <c r="BX16" s="584">
        <v>9843.9966491666655</v>
      </c>
      <c r="BY16" s="563">
        <f>BW16-BX16</f>
        <v>117456.54168416663</v>
      </c>
      <c r="BZ16" s="583">
        <f>'Série Histórica IPCA'!J393</f>
        <v>1.7136797929814573</v>
      </c>
      <c r="CA16" s="631">
        <f>BY16/BZ16</f>
        <v>68540.541917586554</v>
      </c>
      <c r="CB16" s="582">
        <v>0.15</v>
      </c>
      <c r="CC16" s="563">
        <f t="shared" si="8"/>
        <v>10281.081287637982</v>
      </c>
      <c r="CE16" s="585" t="s">
        <v>561</v>
      </c>
      <c r="CF16" s="584">
        <v>158799.01</v>
      </c>
      <c r="CG16" s="584">
        <v>13736.114364999998</v>
      </c>
      <c r="CH16" s="563">
        <f t="shared" si="9"/>
        <v>145062.89563500002</v>
      </c>
      <c r="CI16" s="583">
        <f>'Série Histórica IPCA'!J406</f>
        <v>1.8795601175834615</v>
      </c>
      <c r="CJ16" s="774">
        <f t="shared" si="17"/>
        <v>77179.173083065019</v>
      </c>
      <c r="CK16" s="582">
        <v>0.15</v>
      </c>
      <c r="CL16" s="563">
        <f t="shared" si="1"/>
        <v>11576.875962459753</v>
      </c>
      <c r="CN16" s="585" t="s">
        <v>561</v>
      </c>
      <c r="CO16" s="584">
        <v>227685.59999999998</v>
      </c>
      <c r="CP16" s="584">
        <v>19694.804399999997</v>
      </c>
      <c r="CQ16" s="563">
        <f t="shared" si="10"/>
        <v>207990.79559999998</v>
      </c>
      <c r="CR16" s="583">
        <v>2.0435948040648819</v>
      </c>
      <c r="CS16" s="563">
        <f t="shared" si="11"/>
        <v>101776.92524285578</v>
      </c>
      <c r="CT16" s="582">
        <v>0.15</v>
      </c>
      <c r="CU16" s="563">
        <f t="shared" si="12"/>
        <v>15266.538786428366</v>
      </c>
      <c r="CW16" s="585" t="s">
        <v>561</v>
      </c>
      <c r="CX16" s="584">
        <v>158508.28999999998</v>
      </c>
      <c r="CY16" s="584">
        <v>13710.967084999997</v>
      </c>
      <c r="CZ16" s="563">
        <f t="shared" si="13"/>
        <v>144797.32291499997</v>
      </c>
      <c r="DA16" s="583">
        <v>2.1377671297288479</v>
      </c>
      <c r="DB16" s="563">
        <f t="shared" si="14"/>
        <v>67732.972830097686</v>
      </c>
      <c r="DC16" s="582">
        <v>0.15</v>
      </c>
      <c r="DD16" s="563">
        <f t="shared" si="15"/>
        <v>10159.945924514652</v>
      </c>
      <c r="DF16" s="585" t="s">
        <v>561</v>
      </c>
      <c r="DG16" s="584">
        <v>38255.419999999991</v>
      </c>
      <c r="DH16" s="584">
        <f t="shared" si="19"/>
        <v>3309.0938299999993</v>
      </c>
      <c r="DI16" s="563">
        <f t="shared" si="16"/>
        <v>34946.326169999993</v>
      </c>
      <c r="DJ16" s="583">
        <v>2.2283601329371234</v>
      </c>
      <c r="DK16" s="877">
        <f t="shared" si="2"/>
        <v>15682.530688582399</v>
      </c>
      <c r="DL16" s="582">
        <v>0.15</v>
      </c>
      <c r="DM16" s="563">
        <f t="shared" si="3"/>
        <v>2352.3796032873597</v>
      </c>
      <c r="DO16" s="585" t="s">
        <v>561</v>
      </c>
      <c r="DP16" s="584"/>
      <c r="DQ16" s="584" t="s">
        <v>556</v>
      </c>
      <c r="DR16" s="563" t="s">
        <v>556</v>
      </c>
      <c r="DS16" s="583">
        <v>0</v>
      </c>
      <c r="DT16" s="563" t="s">
        <v>556</v>
      </c>
      <c r="DU16" s="582">
        <v>0.15</v>
      </c>
      <c r="DV16" s="563">
        <v>0</v>
      </c>
      <c r="DX16" s="585" t="s">
        <v>561</v>
      </c>
      <c r="DY16" s="584"/>
      <c r="DZ16" s="584" t="s">
        <v>556</v>
      </c>
      <c r="EA16" s="563" t="s">
        <v>556</v>
      </c>
      <c r="EB16" s="583">
        <v>0</v>
      </c>
      <c r="EC16" s="563" t="s">
        <v>556</v>
      </c>
      <c r="ED16" s="582">
        <v>0.15</v>
      </c>
      <c r="EE16" s="563">
        <v>0</v>
      </c>
      <c r="EG16" s="585" t="s">
        <v>561</v>
      </c>
      <c r="EH16" s="584"/>
      <c r="EI16" s="584" t="s">
        <v>556</v>
      </c>
      <c r="EJ16" s="563" t="s">
        <v>556</v>
      </c>
      <c r="EK16" s="583">
        <v>0</v>
      </c>
      <c r="EL16" s="563" t="s">
        <v>556</v>
      </c>
      <c r="EM16" s="582">
        <v>0.15</v>
      </c>
      <c r="EN16" s="563">
        <v>0</v>
      </c>
      <c r="EP16" s="585" t="s">
        <v>561</v>
      </c>
      <c r="EQ16" s="584"/>
      <c r="ER16" s="584" t="s">
        <v>556</v>
      </c>
      <c r="ES16" s="563" t="s">
        <v>556</v>
      </c>
      <c r="ET16" s="583">
        <v>0</v>
      </c>
      <c r="EU16" s="563" t="s">
        <v>556</v>
      </c>
      <c r="EV16" s="582">
        <v>0.15</v>
      </c>
      <c r="EW16" s="563">
        <v>0</v>
      </c>
      <c r="EY16" s="585" t="s">
        <v>561</v>
      </c>
      <c r="EZ16" s="584"/>
      <c r="FA16" s="584" t="s">
        <v>556</v>
      </c>
      <c r="FB16" s="563" t="s">
        <v>556</v>
      </c>
      <c r="FC16" s="583">
        <v>0</v>
      </c>
      <c r="FD16" s="563" t="s">
        <v>556</v>
      </c>
      <c r="FE16" s="582">
        <v>0.15</v>
      </c>
      <c r="FF16" s="563">
        <v>0</v>
      </c>
      <c r="FH16" s="585" t="s">
        <v>561</v>
      </c>
      <c r="FI16" s="584"/>
      <c r="FJ16" s="584" t="s">
        <v>556</v>
      </c>
      <c r="FK16" s="563" t="s">
        <v>556</v>
      </c>
      <c r="FL16" s="583">
        <v>0</v>
      </c>
      <c r="FM16" s="563" t="s">
        <v>556</v>
      </c>
      <c r="FN16" s="582">
        <v>0.15</v>
      </c>
      <c r="FO16" s="563">
        <v>0</v>
      </c>
      <c r="FQ16" s="585" t="s">
        <v>561</v>
      </c>
      <c r="FR16" s="584"/>
      <c r="FS16" s="584" t="s">
        <v>556</v>
      </c>
      <c r="FT16" s="563" t="s">
        <v>556</v>
      </c>
      <c r="FU16" s="583">
        <v>0</v>
      </c>
      <c r="FV16" s="563" t="s">
        <v>556</v>
      </c>
      <c r="FW16" s="582">
        <v>0.15</v>
      </c>
      <c r="FX16" s="563">
        <v>0</v>
      </c>
      <c r="FZ16" s="585" t="s">
        <v>561</v>
      </c>
      <c r="GA16" s="584"/>
      <c r="GB16" s="584" t="s">
        <v>556</v>
      </c>
      <c r="GC16" s="563" t="s">
        <v>556</v>
      </c>
      <c r="GD16" s="583">
        <v>0</v>
      </c>
      <c r="GE16" s="563" t="s">
        <v>556</v>
      </c>
      <c r="GF16" s="582">
        <v>0.15</v>
      </c>
      <c r="GG16" s="563">
        <v>0</v>
      </c>
      <c r="GI16" s="585" t="s">
        <v>561</v>
      </c>
      <c r="GJ16" s="584"/>
      <c r="GK16" s="584" t="s">
        <v>556</v>
      </c>
      <c r="GL16" s="563" t="s">
        <v>556</v>
      </c>
      <c r="GM16" s="583">
        <v>0</v>
      </c>
      <c r="GN16" s="563" t="s">
        <v>556</v>
      </c>
      <c r="GO16" s="582">
        <v>0.15</v>
      </c>
      <c r="GP16" s="563">
        <v>0</v>
      </c>
      <c r="GR16" s="585" t="s">
        <v>561</v>
      </c>
      <c r="GS16" s="584"/>
      <c r="GT16" s="584" t="s">
        <v>556</v>
      </c>
      <c r="GU16" s="563" t="s">
        <v>556</v>
      </c>
      <c r="GV16" s="583">
        <v>0</v>
      </c>
      <c r="GW16" s="563" t="s">
        <v>556</v>
      </c>
      <c r="GX16" s="582">
        <v>0.15</v>
      </c>
      <c r="GY16" s="563">
        <v>0</v>
      </c>
      <c r="HA16" s="585" t="s">
        <v>561</v>
      </c>
      <c r="HB16" s="584"/>
      <c r="HC16" s="584" t="s">
        <v>556</v>
      </c>
      <c r="HD16" s="563" t="s">
        <v>556</v>
      </c>
      <c r="HE16" s="583">
        <v>0</v>
      </c>
      <c r="HF16" s="563" t="s">
        <v>556</v>
      </c>
      <c r="HG16" s="582">
        <v>0.15</v>
      </c>
      <c r="HH16" s="563">
        <v>0</v>
      </c>
      <c r="HJ16" s="585" t="s">
        <v>561</v>
      </c>
      <c r="HK16" s="584"/>
      <c r="HL16" s="584" t="s">
        <v>556</v>
      </c>
      <c r="HM16" s="563" t="s">
        <v>556</v>
      </c>
      <c r="HN16" s="583">
        <v>0</v>
      </c>
      <c r="HO16" s="563" t="s">
        <v>556</v>
      </c>
      <c r="HP16" s="582">
        <v>0.15</v>
      </c>
      <c r="HQ16" s="563">
        <v>0</v>
      </c>
      <c r="HS16" s="585" t="s">
        <v>561</v>
      </c>
      <c r="HT16" s="584"/>
      <c r="HU16" s="584" t="s">
        <v>556</v>
      </c>
      <c r="HV16" s="563" t="s">
        <v>556</v>
      </c>
      <c r="HW16" s="583">
        <v>0</v>
      </c>
      <c r="HX16" s="563" t="s">
        <v>556</v>
      </c>
      <c r="HY16" s="582">
        <v>0.15</v>
      </c>
      <c r="HZ16" s="563">
        <v>0</v>
      </c>
      <c r="IB16" s="585" t="s">
        <v>561</v>
      </c>
      <c r="IC16" s="584"/>
      <c r="ID16" s="584" t="s">
        <v>556</v>
      </c>
      <c r="IE16" s="563" t="s">
        <v>556</v>
      </c>
      <c r="IF16" s="583">
        <v>0</v>
      </c>
      <c r="IG16" s="563" t="s">
        <v>556</v>
      </c>
      <c r="IH16" s="582">
        <v>0.15</v>
      </c>
      <c r="II16" s="563">
        <v>0</v>
      </c>
      <c r="IK16" s="585" t="s">
        <v>561</v>
      </c>
      <c r="IL16" s="584"/>
      <c r="IM16" s="584" t="s">
        <v>556</v>
      </c>
      <c r="IN16" s="563" t="s">
        <v>556</v>
      </c>
      <c r="IO16" s="583">
        <v>0</v>
      </c>
      <c r="IP16" s="563" t="s">
        <v>556</v>
      </c>
      <c r="IQ16" s="582">
        <v>0.15</v>
      </c>
      <c r="IR16" s="563">
        <v>0</v>
      </c>
      <c r="IT16" s="585" t="s">
        <v>561</v>
      </c>
      <c r="IU16" s="584"/>
      <c r="IV16" s="584" t="s">
        <v>556</v>
      </c>
      <c r="IW16" s="563" t="s">
        <v>556</v>
      </c>
      <c r="IX16" s="583">
        <v>0</v>
      </c>
      <c r="IY16" s="563" t="s">
        <v>556</v>
      </c>
      <c r="IZ16" s="582">
        <v>0.15</v>
      </c>
      <c r="JA16" s="563">
        <v>0</v>
      </c>
      <c r="JC16" s="585" t="s">
        <v>561</v>
      </c>
      <c r="JD16" s="584"/>
      <c r="JE16" s="584" t="s">
        <v>556</v>
      </c>
      <c r="JF16" s="563" t="s">
        <v>556</v>
      </c>
      <c r="JG16" s="583">
        <v>0</v>
      </c>
      <c r="JH16" s="563" t="s">
        <v>556</v>
      </c>
      <c r="JI16" s="582">
        <v>0.15</v>
      </c>
      <c r="JJ16" s="563">
        <v>0</v>
      </c>
      <c r="JL16" s="585" t="s">
        <v>561</v>
      </c>
      <c r="JM16" s="584"/>
      <c r="JN16" s="584" t="s">
        <v>556</v>
      </c>
      <c r="JO16" s="563" t="s">
        <v>556</v>
      </c>
      <c r="JP16" s="583">
        <v>0</v>
      </c>
      <c r="JQ16" s="563" t="s">
        <v>556</v>
      </c>
      <c r="JR16" s="582">
        <v>0.15</v>
      </c>
      <c r="JS16" s="563">
        <v>0</v>
      </c>
      <c r="JU16" s="585" t="s">
        <v>561</v>
      </c>
      <c r="JV16" s="584"/>
      <c r="JW16" s="584" t="s">
        <v>556</v>
      </c>
      <c r="JX16" s="563" t="s">
        <v>556</v>
      </c>
      <c r="JY16" s="583">
        <v>0</v>
      </c>
      <c r="JZ16" s="563" t="s">
        <v>556</v>
      </c>
      <c r="KA16" s="582">
        <v>0.15</v>
      </c>
      <c r="KB16" s="563">
        <v>0</v>
      </c>
      <c r="KD16" s="585" t="s">
        <v>561</v>
      </c>
      <c r="KE16" s="584"/>
      <c r="KF16" s="584" t="s">
        <v>556</v>
      </c>
      <c r="KG16" s="563" t="s">
        <v>556</v>
      </c>
      <c r="KH16" s="583">
        <v>0</v>
      </c>
      <c r="KI16" s="563" t="s">
        <v>556</v>
      </c>
      <c r="KJ16" s="582">
        <v>0.15</v>
      </c>
      <c r="KK16" s="563">
        <v>0</v>
      </c>
      <c r="KM16" s="585" t="s">
        <v>561</v>
      </c>
      <c r="KN16" s="584"/>
      <c r="KO16" s="584" t="s">
        <v>556</v>
      </c>
      <c r="KP16" s="563" t="s">
        <v>556</v>
      </c>
      <c r="KQ16" s="583">
        <v>0</v>
      </c>
      <c r="KR16" s="563" t="s">
        <v>556</v>
      </c>
      <c r="KS16" s="582">
        <v>0.15</v>
      </c>
      <c r="KT16" s="563">
        <v>0</v>
      </c>
      <c r="KV16" s="585" t="s">
        <v>561</v>
      </c>
      <c r="KW16" s="584"/>
      <c r="KX16" s="584" t="s">
        <v>556</v>
      </c>
      <c r="KY16" s="563" t="s">
        <v>556</v>
      </c>
      <c r="KZ16" s="583">
        <v>0</v>
      </c>
      <c r="LA16" s="563" t="s">
        <v>556</v>
      </c>
      <c r="LB16" s="582">
        <v>0.15</v>
      </c>
      <c r="LC16" s="563">
        <v>0</v>
      </c>
    </row>
    <row r="17" spans="2:315">
      <c r="B17" s="585" t="s">
        <v>560</v>
      </c>
      <c r="C17" s="584"/>
      <c r="D17" s="584" t="s">
        <v>556</v>
      </c>
      <c r="E17" s="563" t="s">
        <v>556</v>
      </c>
      <c r="F17" s="583">
        <v>1.1297900000000001</v>
      </c>
      <c r="G17" s="563" t="s">
        <v>556</v>
      </c>
      <c r="H17" s="582">
        <v>0.15</v>
      </c>
      <c r="I17" s="563">
        <v>0</v>
      </c>
      <c r="K17" s="585" t="s">
        <v>560</v>
      </c>
      <c r="L17" s="584"/>
      <c r="M17" s="584" t="s">
        <v>556</v>
      </c>
      <c r="N17" s="563" t="s">
        <v>556</v>
      </c>
      <c r="O17" s="583">
        <v>1.19598</v>
      </c>
      <c r="P17" s="563" t="s">
        <v>556</v>
      </c>
      <c r="Q17" s="582">
        <v>0.15</v>
      </c>
      <c r="R17" s="563">
        <v>0</v>
      </c>
      <c r="T17" s="587" t="s">
        <v>560</v>
      </c>
      <c r="U17" s="584">
        <v>2000</v>
      </c>
      <c r="V17" s="584">
        <v>285</v>
      </c>
      <c r="W17" s="563">
        <v>1715</v>
      </c>
      <c r="X17" s="583">
        <v>1.27667</v>
      </c>
      <c r="Y17" s="563">
        <v>1343.3385291422217</v>
      </c>
      <c r="Z17" s="582">
        <v>0.15</v>
      </c>
      <c r="AA17" s="563">
        <v>201.50077937133324</v>
      </c>
      <c r="AC17" s="587" t="s">
        <v>560</v>
      </c>
      <c r="AD17" s="584">
        <v>26113.1</v>
      </c>
      <c r="AE17" s="584">
        <v>3586.1167500000001</v>
      </c>
      <c r="AF17" s="563">
        <v>22526.983249999997</v>
      </c>
      <c r="AG17" s="583">
        <v>1.3978600000000001</v>
      </c>
      <c r="AH17" s="563">
        <v>16115.33576323809</v>
      </c>
      <c r="AI17" s="582">
        <v>0.15</v>
      </c>
      <c r="AJ17" s="563">
        <v>2417.3003644857135</v>
      </c>
      <c r="AL17" s="586" t="s">
        <v>560</v>
      </c>
      <c r="AM17" s="584">
        <v>54303.020000000004</v>
      </c>
      <c r="AN17" s="584">
        <v>6839.0138500000003</v>
      </c>
      <c r="AO17" s="563">
        <v>47464.006150000001</v>
      </c>
      <c r="AP17" s="583">
        <v>1.51634</v>
      </c>
      <c r="AQ17" s="563">
        <v>31301.69101256974</v>
      </c>
      <c r="AR17" s="582">
        <v>0.15</v>
      </c>
      <c r="AS17" s="563">
        <v>4695.2536518854604</v>
      </c>
      <c r="AU17" s="586" t="s">
        <v>560</v>
      </c>
      <c r="AV17" s="584">
        <v>68033.429999999993</v>
      </c>
      <c r="AW17" s="584">
        <v>8691.2867750000005</v>
      </c>
      <c r="AX17" s="563">
        <v>59342.143224999993</v>
      </c>
      <c r="AY17" s="583">
        <v>1.5548200000000001</v>
      </c>
      <c r="AZ17" s="563">
        <v>38166.567978930027</v>
      </c>
      <c r="BA17" s="582">
        <v>0.15</v>
      </c>
      <c r="BB17" s="563">
        <v>5724.9851968395042</v>
      </c>
      <c r="BD17" s="585" t="s">
        <v>560</v>
      </c>
      <c r="BE17" s="584">
        <v>79850.320000000007</v>
      </c>
      <c r="BF17" s="584">
        <v>10353.3181</v>
      </c>
      <c r="BG17" s="563">
        <f>BE17-BF17</f>
        <v>69497.001900000003</v>
      </c>
      <c r="BH17" s="583">
        <f>'Série Histórica IPCA'!J360</f>
        <v>1.6251947196197409</v>
      </c>
      <c r="BI17" s="563">
        <f>BG17/BH17</f>
        <v>42762.261691485648</v>
      </c>
      <c r="BJ17" s="582">
        <v>0.15</v>
      </c>
      <c r="BK17" s="563">
        <f t="shared" ref="BK17:BK20" si="20">BI17*BJ17</f>
        <v>6414.3392537228474</v>
      </c>
      <c r="BM17" s="585" t="s">
        <v>560</v>
      </c>
      <c r="BN17" s="584">
        <v>86067.867500000008</v>
      </c>
      <c r="BO17" s="584">
        <v>6347.5141637500001</v>
      </c>
      <c r="BP17" s="563">
        <f t="shared" si="4"/>
        <v>79720.353336250002</v>
      </c>
      <c r="BQ17" s="583">
        <f>'Série Histórica IPCA'!J381</f>
        <v>1.6722185081998151</v>
      </c>
      <c r="BR17" s="631">
        <f t="shared" si="5"/>
        <v>47673.406881539035</v>
      </c>
      <c r="BS17" s="582">
        <v>0.15</v>
      </c>
      <c r="BT17" s="563">
        <f t="shared" si="6"/>
        <v>7151.0110322308547</v>
      </c>
      <c r="BV17" s="585" t="s">
        <v>560</v>
      </c>
      <c r="BW17" s="584">
        <v>94229.38</v>
      </c>
      <c r="BX17" s="584">
        <v>8150.8413700000028</v>
      </c>
      <c r="BY17" s="563">
        <f>BW17-BX17</f>
        <v>86078.538629999995</v>
      </c>
      <c r="BZ17" s="583">
        <f>'Série Histórica IPCA'!J394</f>
        <v>1.7246473436565386</v>
      </c>
      <c r="CA17" s="631">
        <f>BY17/BZ17</f>
        <v>49910.805792620311</v>
      </c>
      <c r="CB17" s="582">
        <v>0.15</v>
      </c>
      <c r="CC17" s="563">
        <f t="shared" ref="CC17:CC20" si="21">CA17*CB17</f>
        <v>7486.6208688930465</v>
      </c>
      <c r="CE17" s="585" t="s">
        <v>560</v>
      </c>
      <c r="CF17" s="584">
        <v>175062.69</v>
      </c>
      <c r="CG17" s="584">
        <v>15142.92</v>
      </c>
      <c r="CH17" s="563">
        <f t="shared" si="9"/>
        <v>159919.76999999999</v>
      </c>
      <c r="CI17" s="583">
        <f>'Série Histórica IPCA'!J407</f>
        <v>1.9013623176352803</v>
      </c>
      <c r="CJ17" s="774">
        <f t="shared" si="17"/>
        <v>84107.993787786763</v>
      </c>
      <c r="CK17" s="582">
        <v>0.15</v>
      </c>
      <c r="CL17" s="563">
        <f t="shared" si="1"/>
        <v>12616.199068168014</v>
      </c>
      <c r="CN17" s="585" t="s">
        <v>560</v>
      </c>
      <c r="CO17" s="584">
        <v>426046.79999999993</v>
      </c>
      <c r="CP17" s="584">
        <v>36853.04819999999</v>
      </c>
      <c r="CQ17" s="563">
        <f t="shared" si="10"/>
        <v>389193.75179999997</v>
      </c>
      <c r="CR17" s="583">
        <v>2.0376676507937521</v>
      </c>
      <c r="CS17" s="563">
        <f t="shared" si="11"/>
        <v>190999.62236157287</v>
      </c>
      <c r="CT17" s="582">
        <v>0.15</v>
      </c>
      <c r="CU17" s="563">
        <f t="shared" si="12"/>
        <v>28649.943354235929</v>
      </c>
      <c r="CW17" s="585" t="s">
        <v>560</v>
      </c>
      <c r="CX17" s="584">
        <v>125600.42</v>
      </c>
      <c r="CY17" s="584">
        <v>10864.436329999999</v>
      </c>
      <c r="CZ17" s="563">
        <f t="shared" si="13"/>
        <v>114735.98367</v>
      </c>
      <c r="DA17" s="583">
        <v>2.1433264348476948</v>
      </c>
      <c r="DB17" s="563">
        <f t="shared" si="14"/>
        <v>53531.735439148426</v>
      </c>
      <c r="DC17" s="582">
        <v>0.15</v>
      </c>
      <c r="DD17" s="563">
        <f t="shared" si="15"/>
        <v>8029.7603158722632</v>
      </c>
      <c r="DF17" s="585" t="s">
        <v>560</v>
      </c>
      <c r="DG17" s="584">
        <v>27182.03</v>
      </c>
      <c r="DH17" s="584">
        <f t="shared" si="19"/>
        <v>2351.2455950000003</v>
      </c>
      <c r="DI17" s="563">
        <f t="shared" si="16"/>
        <v>24830.784404999999</v>
      </c>
      <c r="DJ17" s="583">
        <v>2.2381640858653546</v>
      </c>
      <c r="DK17" s="877">
        <f t="shared" si="2"/>
        <v>11094.26451876942</v>
      </c>
      <c r="DL17" s="582">
        <v>0.15</v>
      </c>
      <c r="DM17" s="563">
        <f t="shared" si="3"/>
        <v>1664.1396778154128</v>
      </c>
      <c r="DO17" s="585" t="s">
        <v>560</v>
      </c>
      <c r="DP17" s="584"/>
      <c r="DQ17" s="584" t="s">
        <v>556</v>
      </c>
      <c r="DR17" s="563" t="s">
        <v>556</v>
      </c>
      <c r="DS17" s="583">
        <v>0</v>
      </c>
      <c r="DT17" s="563" t="s">
        <v>556</v>
      </c>
      <c r="DU17" s="582">
        <v>0.15</v>
      </c>
      <c r="DV17" s="563">
        <v>0</v>
      </c>
      <c r="DX17" s="585" t="s">
        <v>560</v>
      </c>
      <c r="DY17" s="584"/>
      <c r="DZ17" s="584" t="s">
        <v>556</v>
      </c>
      <c r="EA17" s="563" t="s">
        <v>556</v>
      </c>
      <c r="EB17" s="583">
        <v>0</v>
      </c>
      <c r="EC17" s="563" t="s">
        <v>556</v>
      </c>
      <c r="ED17" s="582">
        <v>0.15</v>
      </c>
      <c r="EE17" s="563">
        <v>0</v>
      </c>
      <c r="EG17" s="585" t="s">
        <v>560</v>
      </c>
      <c r="EH17" s="584"/>
      <c r="EI17" s="584" t="s">
        <v>556</v>
      </c>
      <c r="EJ17" s="563" t="s">
        <v>556</v>
      </c>
      <c r="EK17" s="583">
        <v>0</v>
      </c>
      <c r="EL17" s="563" t="s">
        <v>556</v>
      </c>
      <c r="EM17" s="582">
        <v>0.15</v>
      </c>
      <c r="EN17" s="563">
        <v>0</v>
      </c>
      <c r="EP17" s="585" t="s">
        <v>560</v>
      </c>
      <c r="EQ17" s="584"/>
      <c r="ER17" s="584" t="s">
        <v>556</v>
      </c>
      <c r="ES17" s="563" t="s">
        <v>556</v>
      </c>
      <c r="ET17" s="583">
        <v>0</v>
      </c>
      <c r="EU17" s="563" t="s">
        <v>556</v>
      </c>
      <c r="EV17" s="582">
        <v>0.15</v>
      </c>
      <c r="EW17" s="563">
        <v>0</v>
      </c>
      <c r="EY17" s="585" t="s">
        <v>560</v>
      </c>
      <c r="EZ17" s="584"/>
      <c r="FA17" s="584" t="s">
        <v>556</v>
      </c>
      <c r="FB17" s="563" t="s">
        <v>556</v>
      </c>
      <c r="FC17" s="583">
        <v>0</v>
      </c>
      <c r="FD17" s="563" t="s">
        <v>556</v>
      </c>
      <c r="FE17" s="582">
        <v>0.15</v>
      </c>
      <c r="FF17" s="563">
        <v>0</v>
      </c>
      <c r="FH17" s="585" t="s">
        <v>560</v>
      </c>
      <c r="FI17" s="584"/>
      <c r="FJ17" s="584" t="s">
        <v>556</v>
      </c>
      <c r="FK17" s="563" t="s">
        <v>556</v>
      </c>
      <c r="FL17" s="583">
        <v>0</v>
      </c>
      <c r="FM17" s="563" t="s">
        <v>556</v>
      </c>
      <c r="FN17" s="582">
        <v>0.15</v>
      </c>
      <c r="FO17" s="563">
        <v>0</v>
      </c>
      <c r="FQ17" s="585" t="s">
        <v>560</v>
      </c>
      <c r="FR17" s="584"/>
      <c r="FS17" s="584" t="s">
        <v>556</v>
      </c>
      <c r="FT17" s="563" t="s">
        <v>556</v>
      </c>
      <c r="FU17" s="583">
        <v>0</v>
      </c>
      <c r="FV17" s="563" t="s">
        <v>556</v>
      </c>
      <c r="FW17" s="582">
        <v>0.15</v>
      </c>
      <c r="FX17" s="563">
        <v>0</v>
      </c>
      <c r="FZ17" s="585" t="s">
        <v>560</v>
      </c>
      <c r="GA17" s="584"/>
      <c r="GB17" s="584" t="s">
        <v>556</v>
      </c>
      <c r="GC17" s="563" t="s">
        <v>556</v>
      </c>
      <c r="GD17" s="583">
        <v>0</v>
      </c>
      <c r="GE17" s="563" t="s">
        <v>556</v>
      </c>
      <c r="GF17" s="582">
        <v>0.15</v>
      </c>
      <c r="GG17" s="563">
        <v>0</v>
      </c>
      <c r="GI17" s="585" t="s">
        <v>560</v>
      </c>
      <c r="GJ17" s="584"/>
      <c r="GK17" s="584" t="s">
        <v>556</v>
      </c>
      <c r="GL17" s="563" t="s">
        <v>556</v>
      </c>
      <c r="GM17" s="583">
        <v>0</v>
      </c>
      <c r="GN17" s="563" t="s">
        <v>556</v>
      </c>
      <c r="GO17" s="582">
        <v>0.15</v>
      </c>
      <c r="GP17" s="563">
        <v>0</v>
      </c>
      <c r="GR17" s="585" t="s">
        <v>560</v>
      </c>
      <c r="GS17" s="584"/>
      <c r="GT17" s="584" t="s">
        <v>556</v>
      </c>
      <c r="GU17" s="563" t="s">
        <v>556</v>
      </c>
      <c r="GV17" s="583">
        <v>0</v>
      </c>
      <c r="GW17" s="563" t="s">
        <v>556</v>
      </c>
      <c r="GX17" s="582">
        <v>0.15</v>
      </c>
      <c r="GY17" s="563">
        <v>0</v>
      </c>
      <c r="HA17" s="585" t="s">
        <v>560</v>
      </c>
      <c r="HB17" s="584"/>
      <c r="HC17" s="584" t="s">
        <v>556</v>
      </c>
      <c r="HD17" s="563" t="s">
        <v>556</v>
      </c>
      <c r="HE17" s="583">
        <v>0</v>
      </c>
      <c r="HF17" s="563" t="s">
        <v>556</v>
      </c>
      <c r="HG17" s="582">
        <v>0.15</v>
      </c>
      <c r="HH17" s="563">
        <v>0</v>
      </c>
      <c r="HJ17" s="585" t="s">
        <v>560</v>
      </c>
      <c r="HK17" s="584"/>
      <c r="HL17" s="584" t="s">
        <v>556</v>
      </c>
      <c r="HM17" s="563" t="s">
        <v>556</v>
      </c>
      <c r="HN17" s="583">
        <v>0</v>
      </c>
      <c r="HO17" s="563" t="s">
        <v>556</v>
      </c>
      <c r="HP17" s="582">
        <v>0.15</v>
      </c>
      <c r="HQ17" s="563">
        <v>0</v>
      </c>
      <c r="HS17" s="585" t="s">
        <v>560</v>
      </c>
      <c r="HT17" s="584"/>
      <c r="HU17" s="584" t="s">
        <v>556</v>
      </c>
      <c r="HV17" s="563" t="s">
        <v>556</v>
      </c>
      <c r="HW17" s="583">
        <v>0</v>
      </c>
      <c r="HX17" s="563" t="s">
        <v>556</v>
      </c>
      <c r="HY17" s="582">
        <v>0.15</v>
      </c>
      <c r="HZ17" s="563">
        <v>0</v>
      </c>
      <c r="IB17" s="585" t="s">
        <v>560</v>
      </c>
      <c r="IC17" s="584"/>
      <c r="ID17" s="584" t="s">
        <v>556</v>
      </c>
      <c r="IE17" s="563" t="s">
        <v>556</v>
      </c>
      <c r="IF17" s="583">
        <v>0</v>
      </c>
      <c r="IG17" s="563" t="s">
        <v>556</v>
      </c>
      <c r="IH17" s="582">
        <v>0.15</v>
      </c>
      <c r="II17" s="563">
        <v>0</v>
      </c>
      <c r="IK17" s="585" t="s">
        <v>560</v>
      </c>
      <c r="IL17" s="584"/>
      <c r="IM17" s="584" t="s">
        <v>556</v>
      </c>
      <c r="IN17" s="563" t="s">
        <v>556</v>
      </c>
      <c r="IO17" s="583">
        <v>0</v>
      </c>
      <c r="IP17" s="563" t="s">
        <v>556</v>
      </c>
      <c r="IQ17" s="582">
        <v>0.15</v>
      </c>
      <c r="IR17" s="563">
        <v>0</v>
      </c>
      <c r="IT17" s="585" t="s">
        <v>560</v>
      </c>
      <c r="IU17" s="584"/>
      <c r="IV17" s="584" t="s">
        <v>556</v>
      </c>
      <c r="IW17" s="563" t="s">
        <v>556</v>
      </c>
      <c r="IX17" s="583">
        <v>0</v>
      </c>
      <c r="IY17" s="563" t="s">
        <v>556</v>
      </c>
      <c r="IZ17" s="582">
        <v>0.15</v>
      </c>
      <c r="JA17" s="563">
        <v>0</v>
      </c>
      <c r="JC17" s="585" t="s">
        <v>560</v>
      </c>
      <c r="JD17" s="584"/>
      <c r="JE17" s="584" t="s">
        <v>556</v>
      </c>
      <c r="JF17" s="563" t="s">
        <v>556</v>
      </c>
      <c r="JG17" s="583">
        <v>0</v>
      </c>
      <c r="JH17" s="563" t="s">
        <v>556</v>
      </c>
      <c r="JI17" s="582">
        <v>0.15</v>
      </c>
      <c r="JJ17" s="563">
        <v>0</v>
      </c>
      <c r="JL17" s="585" t="s">
        <v>560</v>
      </c>
      <c r="JM17" s="584"/>
      <c r="JN17" s="584" t="s">
        <v>556</v>
      </c>
      <c r="JO17" s="563" t="s">
        <v>556</v>
      </c>
      <c r="JP17" s="583">
        <v>0</v>
      </c>
      <c r="JQ17" s="563" t="s">
        <v>556</v>
      </c>
      <c r="JR17" s="582">
        <v>0.15</v>
      </c>
      <c r="JS17" s="563">
        <v>0</v>
      </c>
      <c r="JU17" s="585" t="s">
        <v>560</v>
      </c>
      <c r="JV17" s="584"/>
      <c r="JW17" s="584" t="s">
        <v>556</v>
      </c>
      <c r="JX17" s="563" t="s">
        <v>556</v>
      </c>
      <c r="JY17" s="583">
        <v>0</v>
      </c>
      <c r="JZ17" s="563" t="s">
        <v>556</v>
      </c>
      <c r="KA17" s="582">
        <v>0.15</v>
      </c>
      <c r="KB17" s="563">
        <v>0</v>
      </c>
      <c r="KD17" s="585" t="s">
        <v>560</v>
      </c>
      <c r="KE17" s="584"/>
      <c r="KF17" s="584" t="s">
        <v>556</v>
      </c>
      <c r="KG17" s="563" t="s">
        <v>556</v>
      </c>
      <c r="KH17" s="583">
        <v>0</v>
      </c>
      <c r="KI17" s="563" t="s">
        <v>556</v>
      </c>
      <c r="KJ17" s="582">
        <v>0.15</v>
      </c>
      <c r="KK17" s="563">
        <v>0</v>
      </c>
      <c r="KM17" s="585" t="s">
        <v>560</v>
      </c>
      <c r="KN17" s="584"/>
      <c r="KO17" s="584" t="s">
        <v>556</v>
      </c>
      <c r="KP17" s="563" t="s">
        <v>556</v>
      </c>
      <c r="KQ17" s="583">
        <v>0</v>
      </c>
      <c r="KR17" s="563" t="s">
        <v>556</v>
      </c>
      <c r="KS17" s="582">
        <v>0.15</v>
      </c>
      <c r="KT17" s="563">
        <v>0</v>
      </c>
      <c r="KV17" s="585" t="s">
        <v>560</v>
      </c>
      <c r="KW17" s="584"/>
      <c r="KX17" s="584" t="s">
        <v>556</v>
      </c>
      <c r="KY17" s="563" t="s">
        <v>556</v>
      </c>
      <c r="KZ17" s="583">
        <v>0</v>
      </c>
      <c r="LA17" s="563" t="s">
        <v>556</v>
      </c>
      <c r="LB17" s="582">
        <v>0.15</v>
      </c>
      <c r="LC17" s="563">
        <v>0</v>
      </c>
    </row>
    <row r="18" spans="2:315">
      <c r="B18" s="585" t="s">
        <v>559</v>
      </c>
      <c r="C18" s="584"/>
      <c r="D18" s="584" t="s">
        <v>556</v>
      </c>
      <c r="E18" s="563" t="s">
        <v>556</v>
      </c>
      <c r="F18" s="583">
        <v>1.13646</v>
      </c>
      <c r="G18" s="563" t="s">
        <v>556</v>
      </c>
      <c r="H18" s="582">
        <v>0.15</v>
      </c>
      <c r="I18" s="563">
        <v>0</v>
      </c>
      <c r="K18" s="585" t="s">
        <v>559</v>
      </c>
      <c r="L18" s="584"/>
      <c r="M18" s="584" t="s">
        <v>556</v>
      </c>
      <c r="N18" s="563" t="s">
        <v>556</v>
      </c>
      <c r="O18" s="583">
        <v>1.2028000000000001</v>
      </c>
      <c r="P18" s="563" t="s">
        <v>556</v>
      </c>
      <c r="Q18" s="582">
        <v>0.15</v>
      </c>
      <c r="R18" s="563">
        <v>0</v>
      </c>
      <c r="T18" s="587" t="s">
        <v>559</v>
      </c>
      <c r="U18" s="584">
        <v>11252.25</v>
      </c>
      <c r="V18" s="584">
        <v>1603.4456250000001</v>
      </c>
      <c r="W18" s="563">
        <v>9648.8043749999997</v>
      </c>
      <c r="X18" s="583">
        <v>1.28203</v>
      </c>
      <c r="Y18" s="563">
        <v>7526.1923472929648</v>
      </c>
      <c r="Z18" s="582">
        <v>0.15</v>
      </c>
      <c r="AA18" s="563">
        <v>1128.9288520939447</v>
      </c>
      <c r="AC18" s="587" t="s">
        <v>559</v>
      </c>
      <c r="AD18" s="584">
        <v>49916.11</v>
      </c>
      <c r="AE18" s="584">
        <v>6978.0456750000003</v>
      </c>
      <c r="AF18" s="563">
        <v>42938.064324999999</v>
      </c>
      <c r="AG18" s="583">
        <v>1.4093199999999999</v>
      </c>
      <c r="AH18" s="563">
        <v>30467.221301762555</v>
      </c>
      <c r="AI18" s="582">
        <v>0.15</v>
      </c>
      <c r="AJ18" s="563">
        <v>4570.083195264383</v>
      </c>
      <c r="AL18" s="586" t="s">
        <v>559</v>
      </c>
      <c r="AM18" s="584">
        <v>53355.310000000005</v>
      </c>
      <c r="AN18" s="584">
        <v>6703.9651750000003</v>
      </c>
      <c r="AO18" s="563">
        <v>46651.344825000007</v>
      </c>
      <c r="AP18" s="583">
        <v>1.5202899999999999</v>
      </c>
      <c r="AQ18" s="563">
        <v>30685.819695584403</v>
      </c>
      <c r="AR18" s="582">
        <v>0.15</v>
      </c>
      <c r="AS18" s="563">
        <v>4602.8729543376603</v>
      </c>
      <c r="AU18" s="586" t="s">
        <v>559</v>
      </c>
      <c r="AV18" s="584">
        <v>68492.22</v>
      </c>
      <c r="AW18" s="584">
        <v>8756.6643499999991</v>
      </c>
      <c r="AX18" s="563">
        <v>59735.555650000002</v>
      </c>
      <c r="AY18" s="583">
        <v>1.5613600000000001</v>
      </c>
      <c r="AZ18" s="563">
        <v>38258.669141005274</v>
      </c>
      <c r="BA18" s="582">
        <v>0.15</v>
      </c>
      <c r="BB18" s="563">
        <v>5738.8003711507909</v>
      </c>
      <c r="BD18" s="585" t="s">
        <v>559</v>
      </c>
      <c r="BE18" s="584">
        <v>78812.58</v>
      </c>
      <c r="BF18" s="584">
        <v>10205.440149999999</v>
      </c>
      <c r="BG18" s="563">
        <f>BE18-BF18</f>
        <v>68607.139850000007</v>
      </c>
      <c r="BH18" s="583">
        <f>'Série Histórica IPCA'!J361</f>
        <v>1.6325069011512048</v>
      </c>
      <c r="BI18" s="563">
        <f t="shared" ref="BI18:BI20" si="22">BG18/BH18</f>
        <v>42025.635420971201</v>
      </c>
      <c r="BJ18" s="582">
        <v>0.15</v>
      </c>
      <c r="BK18" s="563">
        <f t="shared" si="20"/>
        <v>6303.8453131456799</v>
      </c>
      <c r="BM18" s="585" t="s">
        <v>559</v>
      </c>
      <c r="BN18" s="584">
        <v>131935.1275</v>
      </c>
      <c r="BO18" s="584">
        <v>10315.03215375</v>
      </c>
      <c r="BP18" s="563">
        <f t="shared" si="4"/>
        <v>121620.09534625</v>
      </c>
      <c r="BQ18" s="583">
        <f>'Série Histórica IPCA'!J382</f>
        <v>1.6738914176228052</v>
      </c>
      <c r="BR18" s="631">
        <f t="shared" si="5"/>
        <v>72657.099538134964</v>
      </c>
      <c r="BS18" s="582">
        <v>0.15</v>
      </c>
      <c r="BT18" s="563">
        <f t="shared" si="6"/>
        <v>10898.564930720244</v>
      </c>
      <c r="BV18" s="585" t="s">
        <v>559</v>
      </c>
      <c r="BW18" s="584">
        <v>87862.049999999988</v>
      </c>
      <c r="BX18" s="584">
        <v>7087.2001749999999</v>
      </c>
      <c r="BY18" s="563">
        <f t="shared" ref="BY18:BY20" si="23">BW18-BX18</f>
        <v>80774.849824999983</v>
      </c>
      <c r="BZ18" s="583">
        <f>'Série Histórica IPCA'!J395</f>
        <v>1.739479310811985</v>
      </c>
      <c r="CA18" s="631">
        <f>BY18/BZ18</f>
        <v>46436.223370368498</v>
      </c>
      <c r="CB18" s="582">
        <v>0.15</v>
      </c>
      <c r="CC18" s="563">
        <f t="shared" si="21"/>
        <v>6965.4335055552747</v>
      </c>
      <c r="CE18" s="585" t="s">
        <v>559</v>
      </c>
      <c r="CF18" s="584">
        <v>112017.63</v>
      </c>
      <c r="CG18" s="584">
        <v>9689.52</v>
      </c>
      <c r="CH18" s="563">
        <f t="shared" si="9"/>
        <v>102328.11</v>
      </c>
      <c r="CI18" s="583">
        <f>'Série Histórica IPCA'!J408</f>
        <v>1.9251285069523301</v>
      </c>
      <c r="CJ18" s="774">
        <f t="shared" si="17"/>
        <v>53153.911352128685</v>
      </c>
      <c r="CK18" s="582">
        <v>0.15</v>
      </c>
      <c r="CL18" s="563">
        <f t="shared" si="1"/>
        <v>7973.0867028193024</v>
      </c>
      <c r="CN18" s="585" t="s">
        <v>559</v>
      </c>
      <c r="CO18" s="584">
        <v>130510.87</v>
      </c>
      <c r="CP18" s="584">
        <v>11289.190255</v>
      </c>
      <c r="CQ18" s="563">
        <f t="shared" si="10"/>
        <v>119221.679745</v>
      </c>
      <c r="CR18" s="583">
        <v>2.0496914873540204</v>
      </c>
      <c r="CS18" s="563">
        <f t="shared" si="11"/>
        <v>58165.670531668737</v>
      </c>
      <c r="CT18" s="582">
        <v>0.15</v>
      </c>
      <c r="CU18" s="563">
        <f t="shared" si="12"/>
        <v>8724.8505797503094</v>
      </c>
      <c r="CW18" s="585" t="s">
        <v>559</v>
      </c>
      <c r="CX18" s="584">
        <v>156995.19999999998</v>
      </c>
      <c r="CY18" s="584">
        <v>13580.084799999997</v>
      </c>
      <c r="CZ18" s="563">
        <f t="shared" si="13"/>
        <v>143415.1152</v>
      </c>
      <c r="DA18" s="583">
        <v>2.1484699116204831</v>
      </c>
      <c r="DB18" s="563">
        <f t="shared" si="14"/>
        <v>66752.210223800241</v>
      </c>
      <c r="DC18" s="582">
        <v>0.15</v>
      </c>
      <c r="DD18" s="563">
        <f t="shared" si="15"/>
        <v>10012.831533570035</v>
      </c>
      <c r="DF18" s="585" t="s">
        <v>559</v>
      </c>
      <c r="DG18" s="584">
        <v>227499.58</v>
      </c>
      <c r="DH18" s="584">
        <f t="shared" si="19"/>
        <v>19678.713670000001</v>
      </c>
      <c r="DI18" s="563">
        <f t="shared" si="16"/>
        <v>207820.86632999999</v>
      </c>
      <c r="DJ18" s="583">
        <v>2.2381640858653546</v>
      </c>
      <c r="DK18" s="877">
        <f t="shared" si="2"/>
        <v>92853.275433400122</v>
      </c>
      <c r="DL18" s="582">
        <v>0.15</v>
      </c>
      <c r="DM18" s="563">
        <f t="shared" si="3"/>
        <v>13927.991315010018</v>
      </c>
      <c r="DO18" s="585" t="s">
        <v>559</v>
      </c>
      <c r="DP18" s="584"/>
      <c r="DQ18" s="584" t="s">
        <v>556</v>
      </c>
      <c r="DR18" s="563" t="s">
        <v>556</v>
      </c>
      <c r="DS18" s="583">
        <v>0</v>
      </c>
      <c r="DT18" s="563" t="s">
        <v>556</v>
      </c>
      <c r="DU18" s="582">
        <v>0.15</v>
      </c>
      <c r="DV18" s="563">
        <v>0</v>
      </c>
      <c r="DX18" s="585" t="s">
        <v>559</v>
      </c>
      <c r="DY18" s="584"/>
      <c r="DZ18" s="584" t="s">
        <v>556</v>
      </c>
      <c r="EA18" s="563" t="s">
        <v>556</v>
      </c>
      <c r="EB18" s="583">
        <v>0</v>
      </c>
      <c r="EC18" s="563" t="s">
        <v>556</v>
      </c>
      <c r="ED18" s="582">
        <v>0.15</v>
      </c>
      <c r="EE18" s="563">
        <v>0</v>
      </c>
      <c r="EG18" s="585" t="s">
        <v>559</v>
      </c>
      <c r="EH18" s="584"/>
      <c r="EI18" s="584" t="s">
        <v>556</v>
      </c>
      <c r="EJ18" s="563" t="s">
        <v>556</v>
      </c>
      <c r="EK18" s="583">
        <v>0</v>
      </c>
      <c r="EL18" s="563" t="s">
        <v>556</v>
      </c>
      <c r="EM18" s="582">
        <v>0.15</v>
      </c>
      <c r="EN18" s="563">
        <v>0</v>
      </c>
      <c r="EP18" s="585" t="s">
        <v>559</v>
      </c>
      <c r="EQ18" s="584"/>
      <c r="ER18" s="584" t="s">
        <v>556</v>
      </c>
      <c r="ES18" s="563" t="s">
        <v>556</v>
      </c>
      <c r="ET18" s="583">
        <v>0</v>
      </c>
      <c r="EU18" s="563" t="s">
        <v>556</v>
      </c>
      <c r="EV18" s="582">
        <v>0.15</v>
      </c>
      <c r="EW18" s="563">
        <v>0</v>
      </c>
      <c r="EY18" s="585" t="s">
        <v>559</v>
      </c>
      <c r="EZ18" s="584"/>
      <c r="FA18" s="584" t="s">
        <v>556</v>
      </c>
      <c r="FB18" s="563" t="s">
        <v>556</v>
      </c>
      <c r="FC18" s="583">
        <v>0</v>
      </c>
      <c r="FD18" s="563" t="s">
        <v>556</v>
      </c>
      <c r="FE18" s="582">
        <v>0.15</v>
      </c>
      <c r="FF18" s="563">
        <v>0</v>
      </c>
      <c r="FH18" s="585" t="s">
        <v>559</v>
      </c>
      <c r="FI18" s="584"/>
      <c r="FJ18" s="584" t="s">
        <v>556</v>
      </c>
      <c r="FK18" s="563" t="s">
        <v>556</v>
      </c>
      <c r="FL18" s="583">
        <v>0</v>
      </c>
      <c r="FM18" s="563" t="s">
        <v>556</v>
      </c>
      <c r="FN18" s="582">
        <v>0.15</v>
      </c>
      <c r="FO18" s="563">
        <v>0</v>
      </c>
      <c r="FQ18" s="585" t="s">
        <v>559</v>
      </c>
      <c r="FR18" s="584"/>
      <c r="FS18" s="584" t="s">
        <v>556</v>
      </c>
      <c r="FT18" s="563" t="s">
        <v>556</v>
      </c>
      <c r="FU18" s="583">
        <v>0</v>
      </c>
      <c r="FV18" s="563" t="s">
        <v>556</v>
      </c>
      <c r="FW18" s="582">
        <v>0.15</v>
      </c>
      <c r="FX18" s="563">
        <v>0</v>
      </c>
      <c r="FZ18" s="585" t="s">
        <v>559</v>
      </c>
      <c r="GA18" s="584"/>
      <c r="GB18" s="584" t="s">
        <v>556</v>
      </c>
      <c r="GC18" s="563" t="s">
        <v>556</v>
      </c>
      <c r="GD18" s="583">
        <v>0</v>
      </c>
      <c r="GE18" s="563" t="s">
        <v>556</v>
      </c>
      <c r="GF18" s="582">
        <v>0.15</v>
      </c>
      <c r="GG18" s="563">
        <v>0</v>
      </c>
      <c r="GI18" s="585" t="s">
        <v>559</v>
      </c>
      <c r="GJ18" s="584"/>
      <c r="GK18" s="584" t="s">
        <v>556</v>
      </c>
      <c r="GL18" s="563" t="s">
        <v>556</v>
      </c>
      <c r="GM18" s="583">
        <v>0</v>
      </c>
      <c r="GN18" s="563" t="s">
        <v>556</v>
      </c>
      <c r="GO18" s="582">
        <v>0.15</v>
      </c>
      <c r="GP18" s="563">
        <v>0</v>
      </c>
      <c r="GR18" s="585" t="s">
        <v>559</v>
      </c>
      <c r="GS18" s="584"/>
      <c r="GT18" s="584" t="s">
        <v>556</v>
      </c>
      <c r="GU18" s="563" t="s">
        <v>556</v>
      </c>
      <c r="GV18" s="583">
        <v>0</v>
      </c>
      <c r="GW18" s="563" t="s">
        <v>556</v>
      </c>
      <c r="GX18" s="582">
        <v>0.15</v>
      </c>
      <c r="GY18" s="563">
        <v>0</v>
      </c>
      <c r="HA18" s="585" t="s">
        <v>559</v>
      </c>
      <c r="HB18" s="584"/>
      <c r="HC18" s="584" t="s">
        <v>556</v>
      </c>
      <c r="HD18" s="563" t="s">
        <v>556</v>
      </c>
      <c r="HE18" s="583">
        <v>0</v>
      </c>
      <c r="HF18" s="563" t="s">
        <v>556</v>
      </c>
      <c r="HG18" s="582">
        <v>0.15</v>
      </c>
      <c r="HH18" s="563">
        <v>0</v>
      </c>
      <c r="HJ18" s="585" t="s">
        <v>559</v>
      </c>
      <c r="HK18" s="584"/>
      <c r="HL18" s="584" t="s">
        <v>556</v>
      </c>
      <c r="HM18" s="563" t="s">
        <v>556</v>
      </c>
      <c r="HN18" s="583">
        <v>0</v>
      </c>
      <c r="HO18" s="563" t="s">
        <v>556</v>
      </c>
      <c r="HP18" s="582">
        <v>0.15</v>
      </c>
      <c r="HQ18" s="563">
        <v>0</v>
      </c>
      <c r="HS18" s="585" t="s">
        <v>559</v>
      </c>
      <c r="HT18" s="584"/>
      <c r="HU18" s="584" t="s">
        <v>556</v>
      </c>
      <c r="HV18" s="563" t="s">
        <v>556</v>
      </c>
      <c r="HW18" s="583">
        <v>0</v>
      </c>
      <c r="HX18" s="563" t="s">
        <v>556</v>
      </c>
      <c r="HY18" s="582">
        <v>0.15</v>
      </c>
      <c r="HZ18" s="563">
        <v>0</v>
      </c>
      <c r="IB18" s="585" t="s">
        <v>559</v>
      </c>
      <c r="IC18" s="584"/>
      <c r="ID18" s="584" t="s">
        <v>556</v>
      </c>
      <c r="IE18" s="563" t="s">
        <v>556</v>
      </c>
      <c r="IF18" s="583">
        <v>0</v>
      </c>
      <c r="IG18" s="563" t="s">
        <v>556</v>
      </c>
      <c r="IH18" s="582">
        <v>0.15</v>
      </c>
      <c r="II18" s="563">
        <v>0</v>
      </c>
      <c r="IK18" s="585" t="s">
        <v>559</v>
      </c>
      <c r="IL18" s="584"/>
      <c r="IM18" s="584" t="s">
        <v>556</v>
      </c>
      <c r="IN18" s="563" t="s">
        <v>556</v>
      </c>
      <c r="IO18" s="583">
        <v>0</v>
      </c>
      <c r="IP18" s="563" t="s">
        <v>556</v>
      </c>
      <c r="IQ18" s="582">
        <v>0.15</v>
      </c>
      <c r="IR18" s="563">
        <v>0</v>
      </c>
      <c r="IT18" s="585" t="s">
        <v>559</v>
      </c>
      <c r="IU18" s="584"/>
      <c r="IV18" s="584" t="s">
        <v>556</v>
      </c>
      <c r="IW18" s="563" t="s">
        <v>556</v>
      </c>
      <c r="IX18" s="583">
        <v>0</v>
      </c>
      <c r="IY18" s="563" t="s">
        <v>556</v>
      </c>
      <c r="IZ18" s="582">
        <v>0.15</v>
      </c>
      <c r="JA18" s="563">
        <v>0</v>
      </c>
      <c r="JC18" s="585" t="s">
        <v>559</v>
      </c>
      <c r="JD18" s="584"/>
      <c r="JE18" s="584" t="s">
        <v>556</v>
      </c>
      <c r="JF18" s="563" t="s">
        <v>556</v>
      </c>
      <c r="JG18" s="583">
        <v>0</v>
      </c>
      <c r="JH18" s="563" t="s">
        <v>556</v>
      </c>
      <c r="JI18" s="582">
        <v>0.15</v>
      </c>
      <c r="JJ18" s="563">
        <v>0</v>
      </c>
      <c r="JL18" s="585" t="s">
        <v>559</v>
      </c>
      <c r="JM18" s="584"/>
      <c r="JN18" s="584" t="s">
        <v>556</v>
      </c>
      <c r="JO18" s="563" t="s">
        <v>556</v>
      </c>
      <c r="JP18" s="583">
        <v>0</v>
      </c>
      <c r="JQ18" s="563" t="s">
        <v>556</v>
      </c>
      <c r="JR18" s="582">
        <v>0.15</v>
      </c>
      <c r="JS18" s="563">
        <v>0</v>
      </c>
      <c r="JU18" s="585" t="s">
        <v>559</v>
      </c>
      <c r="JV18" s="584"/>
      <c r="JW18" s="584" t="s">
        <v>556</v>
      </c>
      <c r="JX18" s="563" t="s">
        <v>556</v>
      </c>
      <c r="JY18" s="583">
        <v>0</v>
      </c>
      <c r="JZ18" s="563" t="s">
        <v>556</v>
      </c>
      <c r="KA18" s="582">
        <v>0.15</v>
      </c>
      <c r="KB18" s="563">
        <v>0</v>
      </c>
      <c r="KD18" s="585" t="s">
        <v>559</v>
      </c>
      <c r="KE18" s="584"/>
      <c r="KF18" s="584" t="s">
        <v>556</v>
      </c>
      <c r="KG18" s="563" t="s">
        <v>556</v>
      </c>
      <c r="KH18" s="583">
        <v>0</v>
      </c>
      <c r="KI18" s="563" t="s">
        <v>556</v>
      </c>
      <c r="KJ18" s="582">
        <v>0.15</v>
      </c>
      <c r="KK18" s="563">
        <v>0</v>
      </c>
      <c r="KM18" s="585" t="s">
        <v>559</v>
      </c>
      <c r="KN18" s="584"/>
      <c r="KO18" s="584" t="s">
        <v>556</v>
      </c>
      <c r="KP18" s="563" t="s">
        <v>556</v>
      </c>
      <c r="KQ18" s="583">
        <v>0</v>
      </c>
      <c r="KR18" s="563" t="s">
        <v>556</v>
      </c>
      <c r="KS18" s="582">
        <v>0.15</v>
      </c>
      <c r="KT18" s="563">
        <v>0</v>
      </c>
      <c r="KV18" s="585" t="s">
        <v>559</v>
      </c>
      <c r="KW18" s="584"/>
      <c r="KX18" s="584" t="s">
        <v>556</v>
      </c>
      <c r="KY18" s="563" t="s">
        <v>556</v>
      </c>
      <c r="KZ18" s="583">
        <v>0</v>
      </c>
      <c r="LA18" s="563" t="s">
        <v>556</v>
      </c>
      <c r="LB18" s="582">
        <v>0.15</v>
      </c>
      <c r="LC18" s="563">
        <v>0</v>
      </c>
    </row>
    <row r="19" spans="2:315">
      <c r="B19" s="585" t="s">
        <v>558</v>
      </c>
      <c r="C19" s="584">
        <v>4000</v>
      </c>
      <c r="D19" s="584">
        <v>570</v>
      </c>
      <c r="E19" s="563">
        <v>3430</v>
      </c>
      <c r="F19" s="583">
        <v>1.1432800000000001</v>
      </c>
      <c r="G19" s="563">
        <v>3000.1399482191587</v>
      </c>
      <c r="H19" s="582">
        <v>0.15</v>
      </c>
      <c r="I19" s="563">
        <v>450.02099223287377</v>
      </c>
      <c r="K19" s="585" t="s">
        <v>558</v>
      </c>
      <c r="L19" s="584"/>
      <c r="M19" s="584" t="s">
        <v>556</v>
      </c>
      <c r="N19" s="563" t="s">
        <v>556</v>
      </c>
      <c r="O19" s="583">
        <v>1.2093</v>
      </c>
      <c r="P19" s="563" t="s">
        <v>556</v>
      </c>
      <c r="Q19" s="582">
        <v>0.15</v>
      </c>
      <c r="R19" s="563">
        <v>0</v>
      </c>
      <c r="T19" s="587" t="s">
        <v>558</v>
      </c>
      <c r="U19" s="584">
        <v>15438.35</v>
      </c>
      <c r="V19" s="584">
        <v>2199.9648749999997</v>
      </c>
      <c r="W19" s="563">
        <v>13238.385125000001</v>
      </c>
      <c r="X19" s="583">
        <v>1.28857</v>
      </c>
      <c r="Y19" s="563">
        <v>10273.702728606129</v>
      </c>
      <c r="Z19" s="582">
        <v>0.15</v>
      </c>
      <c r="AA19" s="563">
        <v>1541.0554092909194</v>
      </c>
      <c r="AC19" s="586" t="s">
        <v>558</v>
      </c>
      <c r="AD19" s="584">
        <v>37659.699999999997</v>
      </c>
      <c r="AE19" s="584">
        <v>5231.5072500000006</v>
      </c>
      <c r="AF19" s="563">
        <v>32428.192749999995</v>
      </c>
      <c r="AG19" s="583">
        <v>1.4235599999999999</v>
      </c>
      <c r="AH19" s="563">
        <v>22779.645922897522</v>
      </c>
      <c r="AI19" s="582">
        <v>0.15</v>
      </c>
      <c r="AJ19" s="563">
        <v>3416.9468884346284</v>
      </c>
      <c r="AL19" s="586" t="s">
        <v>558</v>
      </c>
      <c r="AM19" s="584">
        <v>56703.85</v>
      </c>
      <c r="AN19" s="584">
        <v>7181.1321250000001</v>
      </c>
      <c r="AO19" s="563">
        <v>49522.717875000002</v>
      </c>
      <c r="AP19" s="583">
        <v>1.5230300000000001</v>
      </c>
      <c r="AQ19" s="563">
        <v>32515.91752952995</v>
      </c>
      <c r="AR19" s="582">
        <v>0.15</v>
      </c>
      <c r="AS19" s="563">
        <v>4877.3876294294923</v>
      </c>
      <c r="AU19" s="585" t="s">
        <v>558</v>
      </c>
      <c r="AV19" s="584">
        <v>70535.25</v>
      </c>
      <c r="AW19" s="584">
        <v>9047.7961250000008</v>
      </c>
      <c r="AX19" s="563">
        <v>61487.453874999999</v>
      </c>
      <c r="AY19" s="583">
        <v>1.5657300000000001</v>
      </c>
      <c r="AZ19" s="563">
        <v>39270.789903112287</v>
      </c>
      <c r="BA19" s="582">
        <v>0.15</v>
      </c>
      <c r="BB19" s="563">
        <v>5890.6184854668427</v>
      </c>
      <c r="BD19" s="585" t="s">
        <v>558</v>
      </c>
      <c r="BE19" s="584">
        <v>113865.23999999999</v>
      </c>
      <c r="BF19" s="584">
        <v>15200.444199999998</v>
      </c>
      <c r="BG19" s="563">
        <f>BE19-BF19</f>
        <v>98664.795799999993</v>
      </c>
      <c r="BH19" s="583">
        <f>'Série Histórica IPCA'!J362</f>
        <v>1.6290779166360128</v>
      </c>
      <c r="BI19" s="563">
        <f t="shared" si="22"/>
        <v>60564.810800295694</v>
      </c>
      <c r="BJ19" s="582">
        <v>0.15</v>
      </c>
      <c r="BK19" s="563">
        <f t="shared" si="20"/>
        <v>9084.7216200443545</v>
      </c>
      <c r="BM19" s="585" t="s">
        <v>558</v>
      </c>
      <c r="BN19" s="584">
        <v>93434.897500000006</v>
      </c>
      <c r="BO19" s="584">
        <v>6984.7622587499991</v>
      </c>
      <c r="BP19" s="563">
        <f t="shared" si="4"/>
        <v>86450.135241250013</v>
      </c>
      <c r="BQ19" s="583">
        <f>'Série Histórica IPCA'!J383</f>
        <v>1.6824286934353501</v>
      </c>
      <c r="BR19" s="631">
        <f t="shared" si="5"/>
        <v>51384.130322175813</v>
      </c>
      <c r="BS19" s="582">
        <v>0.15</v>
      </c>
      <c r="BT19" s="563">
        <f t="shared" si="6"/>
        <v>7707.6195483263718</v>
      </c>
      <c r="BV19" s="585" t="s">
        <v>558</v>
      </c>
      <c r="BW19" s="584">
        <v>97738.87000000001</v>
      </c>
      <c r="BX19" s="584">
        <v>8280.9792550000002</v>
      </c>
      <c r="BY19" s="563">
        <f t="shared" si="23"/>
        <v>89457.890745000012</v>
      </c>
      <c r="BZ19" s="583">
        <f>'Série Histórica IPCA'!J396</f>
        <v>1.7549619517063357</v>
      </c>
      <c r="CA19" s="631">
        <f>BY19/BZ19</f>
        <v>50974.26223857492</v>
      </c>
      <c r="CB19" s="582">
        <v>0.15</v>
      </c>
      <c r="CC19" s="563">
        <f t="shared" si="21"/>
        <v>7646.139335786238</v>
      </c>
      <c r="CE19" s="585" t="s">
        <v>558</v>
      </c>
      <c r="CF19" s="584">
        <v>113697</v>
      </c>
      <c r="CG19" s="584">
        <v>9834.7900000000009</v>
      </c>
      <c r="CH19" s="563">
        <f t="shared" si="9"/>
        <v>103862.20999999999</v>
      </c>
      <c r="CI19" s="583">
        <f>'Série Histórica IPCA'!J409</f>
        <v>1.9434185568197446</v>
      </c>
      <c r="CJ19" s="774">
        <f t="shared" si="17"/>
        <v>53443.047374191243</v>
      </c>
      <c r="CK19" s="582">
        <v>0.15</v>
      </c>
      <c r="CL19" s="563">
        <f t="shared" si="1"/>
        <v>8016.4571061286861</v>
      </c>
      <c r="CN19" s="585" t="s">
        <v>558</v>
      </c>
      <c r="CO19" s="584">
        <v>275535.91000000003</v>
      </c>
      <c r="CP19" s="584">
        <v>23833.856215</v>
      </c>
      <c r="CQ19" s="563">
        <f t="shared" si="10"/>
        <v>251702.05378500003</v>
      </c>
      <c r="CR19" s="583">
        <v>2.058094418623992</v>
      </c>
      <c r="CS19" s="563">
        <f t="shared" si="11"/>
        <v>122298.59403305892</v>
      </c>
      <c r="CT19" s="582">
        <v>0.15</v>
      </c>
      <c r="CU19" s="563">
        <f t="shared" si="12"/>
        <v>18344.789104958836</v>
      </c>
      <c r="CW19" s="585" t="s">
        <v>558</v>
      </c>
      <c r="CX19" s="584">
        <v>93730.85</v>
      </c>
      <c r="CY19" s="584">
        <v>8107.7185250000011</v>
      </c>
      <c r="CZ19" s="563">
        <f t="shared" si="13"/>
        <v>85623.131475000002</v>
      </c>
      <c r="DA19" s="583">
        <v>2.1544866279199946</v>
      </c>
      <c r="DB19" s="563">
        <f t="shared" ref="DB19:DB20" si="24">CZ19/DA19</f>
        <v>39741.779023090581</v>
      </c>
      <c r="DC19" s="582">
        <v>0.15</v>
      </c>
      <c r="DD19" s="563">
        <f t="shared" ref="DD19:DD20" si="25">DB19*DC19</f>
        <v>5961.2668534635868</v>
      </c>
      <c r="DF19" s="585" t="s">
        <v>558</v>
      </c>
      <c r="DG19" s="584"/>
      <c r="DH19" s="584" t="s">
        <v>556</v>
      </c>
      <c r="DI19" s="563"/>
      <c r="DJ19" s="583"/>
      <c r="DK19" s="563"/>
      <c r="DL19" s="582"/>
      <c r="DM19" s="563"/>
      <c r="DO19" s="585" t="s">
        <v>558</v>
      </c>
      <c r="DP19" s="584"/>
      <c r="DQ19" s="584" t="s">
        <v>556</v>
      </c>
      <c r="DR19" s="563" t="s">
        <v>556</v>
      </c>
      <c r="DS19" s="583">
        <v>0</v>
      </c>
      <c r="DT19" s="563" t="s">
        <v>556</v>
      </c>
      <c r="DU19" s="582">
        <v>0.15</v>
      </c>
      <c r="DV19" s="563">
        <v>0</v>
      </c>
      <c r="DX19" s="585" t="s">
        <v>558</v>
      </c>
      <c r="DY19" s="584"/>
      <c r="DZ19" s="584" t="s">
        <v>556</v>
      </c>
      <c r="EA19" s="563" t="s">
        <v>556</v>
      </c>
      <c r="EB19" s="583">
        <v>0</v>
      </c>
      <c r="EC19" s="563" t="s">
        <v>556</v>
      </c>
      <c r="ED19" s="582">
        <v>0.15</v>
      </c>
      <c r="EE19" s="563">
        <v>0</v>
      </c>
      <c r="EG19" s="585" t="s">
        <v>558</v>
      </c>
      <c r="EH19" s="584"/>
      <c r="EI19" s="584" t="s">
        <v>556</v>
      </c>
      <c r="EJ19" s="563" t="s">
        <v>556</v>
      </c>
      <c r="EK19" s="583">
        <v>0</v>
      </c>
      <c r="EL19" s="563" t="s">
        <v>556</v>
      </c>
      <c r="EM19" s="582">
        <v>0.15</v>
      </c>
      <c r="EN19" s="563">
        <v>0</v>
      </c>
      <c r="EP19" s="585" t="s">
        <v>558</v>
      </c>
      <c r="EQ19" s="584"/>
      <c r="ER19" s="584" t="s">
        <v>556</v>
      </c>
      <c r="ES19" s="563" t="s">
        <v>556</v>
      </c>
      <c r="ET19" s="583">
        <v>0</v>
      </c>
      <c r="EU19" s="563" t="s">
        <v>556</v>
      </c>
      <c r="EV19" s="582">
        <v>0.15</v>
      </c>
      <c r="EW19" s="563">
        <v>0</v>
      </c>
      <c r="EY19" s="585" t="s">
        <v>558</v>
      </c>
      <c r="EZ19" s="584"/>
      <c r="FA19" s="584" t="s">
        <v>556</v>
      </c>
      <c r="FB19" s="563" t="s">
        <v>556</v>
      </c>
      <c r="FC19" s="583">
        <v>0</v>
      </c>
      <c r="FD19" s="563" t="s">
        <v>556</v>
      </c>
      <c r="FE19" s="582">
        <v>0.15</v>
      </c>
      <c r="FF19" s="563">
        <v>0</v>
      </c>
      <c r="FH19" s="585" t="s">
        <v>558</v>
      </c>
      <c r="FI19" s="584"/>
      <c r="FJ19" s="584" t="s">
        <v>556</v>
      </c>
      <c r="FK19" s="563" t="s">
        <v>556</v>
      </c>
      <c r="FL19" s="583">
        <v>0</v>
      </c>
      <c r="FM19" s="563" t="s">
        <v>556</v>
      </c>
      <c r="FN19" s="582">
        <v>0.15</v>
      </c>
      <c r="FO19" s="563">
        <v>0</v>
      </c>
      <c r="FQ19" s="585" t="s">
        <v>558</v>
      </c>
      <c r="FR19" s="584"/>
      <c r="FS19" s="584" t="s">
        <v>556</v>
      </c>
      <c r="FT19" s="563" t="s">
        <v>556</v>
      </c>
      <c r="FU19" s="583">
        <v>0</v>
      </c>
      <c r="FV19" s="563" t="s">
        <v>556</v>
      </c>
      <c r="FW19" s="582">
        <v>0.15</v>
      </c>
      <c r="FX19" s="563">
        <v>0</v>
      </c>
      <c r="FZ19" s="585" t="s">
        <v>558</v>
      </c>
      <c r="GA19" s="584"/>
      <c r="GB19" s="584" t="s">
        <v>556</v>
      </c>
      <c r="GC19" s="563" t="s">
        <v>556</v>
      </c>
      <c r="GD19" s="583">
        <v>0</v>
      </c>
      <c r="GE19" s="563" t="s">
        <v>556</v>
      </c>
      <c r="GF19" s="582">
        <v>0.15</v>
      </c>
      <c r="GG19" s="563">
        <v>0</v>
      </c>
      <c r="GI19" s="585" t="s">
        <v>558</v>
      </c>
      <c r="GJ19" s="584"/>
      <c r="GK19" s="584" t="s">
        <v>556</v>
      </c>
      <c r="GL19" s="563" t="s">
        <v>556</v>
      </c>
      <c r="GM19" s="583">
        <v>0</v>
      </c>
      <c r="GN19" s="563" t="s">
        <v>556</v>
      </c>
      <c r="GO19" s="582">
        <v>0.15</v>
      </c>
      <c r="GP19" s="563">
        <v>0</v>
      </c>
      <c r="GR19" s="585" t="s">
        <v>558</v>
      </c>
      <c r="GS19" s="584"/>
      <c r="GT19" s="584" t="s">
        <v>556</v>
      </c>
      <c r="GU19" s="563" t="s">
        <v>556</v>
      </c>
      <c r="GV19" s="583">
        <v>0</v>
      </c>
      <c r="GW19" s="563" t="s">
        <v>556</v>
      </c>
      <c r="GX19" s="582">
        <v>0.15</v>
      </c>
      <c r="GY19" s="563">
        <v>0</v>
      </c>
      <c r="HA19" s="585" t="s">
        <v>558</v>
      </c>
      <c r="HB19" s="584"/>
      <c r="HC19" s="584" t="s">
        <v>556</v>
      </c>
      <c r="HD19" s="563" t="s">
        <v>556</v>
      </c>
      <c r="HE19" s="583">
        <v>0</v>
      </c>
      <c r="HF19" s="563" t="s">
        <v>556</v>
      </c>
      <c r="HG19" s="582">
        <v>0.15</v>
      </c>
      <c r="HH19" s="563">
        <v>0</v>
      </c>
      <c r="HJ19" s="585" t="s">
        <v>558</v>
      </c>
      <c r="HK19" s="584"/>
      <c r="HL19" s="584" t="s">
        <v>556</v>
      </c>
      <c r="HM19" s="563" t="s">
        <v>556</v>
      </c>
      <c r="HN19" s="583">
        <v>0</v>
      </c>
      <c r="HO19" s="563" t="s">
        <v>556</v>
      </c>
      <c r="HP19" s="582">
        <v>0.15</v>
      </c>
      <c r="HQ19" s="563">
        <v>0</v>
      </c>
      <c r="HS19" s="585" t="s">
        <v>558</v>
      </c>
      <c r="HT19" s="584"/>
      <c r="HU19" s="584" t="s">
        <v>556</v>
      </c>
      <c r="HV19" s="563" t="s">
        <v>556</v>
      </c>
      <c r="HW19" s="583">
        <v>0</v>
      </c>
      <c r="HX19" s="563" t="s">
        <v>556</v>
      </c>
      <c r="HY19" s="582">
        <v>0.15</v>
      </c>
      <c r="HZ19" s="563">
        <v>0</v>
      </c>
      <c r="IB19" s="585" t="s">
        <v>558</v>
      </c>
      <c r="IC19" s="584"/>
      <c r="ID19" s="584" t="s">
        <v>556</v>
      </c>
      <c r="IE19" s="563" t="s">
        <v>556</v>
      </c>
      <c r="IF19" s="583">
        <v>0</v>
      </c>
      <c r="IG19" s="563" t="s">
        <v>556</v>
      </c>
      <c r="IH19" s="582">
        <v>0.15</v>
      </c>
      <c r="II19" s="563">
        <v>0</v>
      </c>
      <c r="IK19" s="585" t="s">
        <v>558</v>
      </c>
      <c r="IL19" s="584"/>
      <c r="IM19" s="584" t="s">
        <v>556</v>
      </c>
      <c r="IN19" s="563" t="s">
        <v>556</v>
      </c>
      <c r="IO19" s="583">
        <v>0</v>
      </c>
      <c r="IP19" s="563" t="s">
        <v>556</v>
      </c>
      <c r="IQ19" s="582">
        <v>0.15</v>
      </c>
      <c r="IR19" s="563">
        <v>0</v>
      </c>
      <c r="IT19" s="585" t="s">
        <v>558</v>
      </c>
      <c r="IU19" s="584"/>
      <c r="IV19" s="584" t="s">
        <v>556</v>
      </c>
      <c r="IW19" s="563" t="s">
        <v>556</v>
      </c>
      <c r="IX19" s="583">
        <v>0</v>
      </c>
      <c r="IY19" s="563" t="s">
        <v>556</v>
      </c>
      <c r="IZ19" s="582">
        <v>0.15</v>
      </c>
      <c r="JA19" s="563">
        <v>0</v>
      </c>
      <c r="JC19" s="585" t="s">
        <v>558</v>
      </c>
      <c r="JD19" s="584"/>
      <c r="JE19" s="584" t="s">
        <v>556</v>
      </c>
      <c r="JF19" s="563" t="s">
        <v>556</v>
      </c>
      <c r="JG19" s="583">
        <v>0</v>
      </c>
      <c r="JH19" s="563" t="s">
        <v>556</v>
      </c>
      <c r="JI19" s="582">
        <v>0.15</v>
      </c>
      <c r="JJ19" s="563">
        <v>0</v>
      </c>
      <c r="JL19" s="585" t="s">
        <v>558</v>
      </c>
      <c r="JM19" s="584"/>
      <c r="JN19" s="584" t="s">
        <v>556</v>
      </c>
      <c r="JO19" s="563" t="s">
        <v>556</v>
      </c>
      <c r="JP19" s="583">
        <v>0</v>
      </c>
      <c r="JQ19" s="563" t="s">
        <v>556</v>
      </c>
      <c r="JR19" s="582">
        <v>0.15</v>
      </c>
      <c r="JS19" s="563">
        <v>0</v>
      </c>
      <c r="JU19" s="585" t="s">
        <v>558</v>
      </c>
      <c r="JV19" s="584"/>
      <c r="JW19" s="584" t="s">
        <v>556</v>
      </c>
      <c r="JX19" s="563" t="s">
        <v>556</v>
      </c>
      <c r="JY19" s="583">
        <v>0</v>
      </c>
      <c r="JZ19" s="563" t="s">
        <v>556</v>
      </c>
      <c r="KA19" s="582">
        <v>0.15</v>
      </c>
      <c r="KB19" s="563">
        <v>0</v>
      </c>
      <c r="KD19" s="585" t="s">
        <v>558</v>
      </c>
      <c r="KE19" s="584"/>
      <c r="KF19" s="584" t="s">
        <v>556</v>
      </c>
      <c r="KG19" s="563" t="s">
        <v>556</v>
      </c>
      <c r="KH19" s="583">
        <v>0</v>
      </c>
      <c r="KI19" s="563" t="s">
        <v>556</v>
      </c>
      <c r="KJ19" s="582">
        <v>0.15</v>
      </c>
      <c r="KK19" s="563">
        <v>0</v>
      </c>
      <c r="KM19" s="585" t="s">
        <v>558</v>
      </c>
      <c r="KN19" s="584"/>
      <c r="KO19" s="584" t="s">
        <v>556</v>
      </c>
      <c r="KP19" s="563" t="s">
        <v>556</v>
      </c>
      <c r="KQ19" s="583">
        <v>0</v>
      </c>
      <c r="KR19" s="563" t="s">
        <v>556</v>
      </c>
      <c r="KS19" s="582">
        <v>0.15</v>
      </c>
      <c r="KT19" s="563">
        <v>0</v>
      </c>
      <c r="KV19" s="585" t="s">
        <v>558</v>
      </c>
      <c r="KW19" s="584"/>
      <c r="KX19" s="584" t="s">
        <v>556</v>
      </c>
      <c r="KY19" s="563" t="s">
        <v>556</v>
      </c>
      <c r="KZ19" s="583">
        <v>0</v>
      </c>
      <c r="LA19" s="563" t="s">
        <v>556</v>
      </c>
      <c r="LB19" s="582">
        <v>0.15</v>
      </c>
      <c r="LC19" s="563">
        <v>0</v>
      </c>
    </row>
    <row r="20" spans="2:315">
      <c r="B20" s="585" t="s">
        <v>557</v>
      </c>
      <c r="C20" s="584">
        <v>2000</v>
      </c>
      <c r="D20" s="584">
        <v>285</v>
      </c>
      <c r="E20" s="563">
        <v>1715</v>
      </c>
      <c r="F20" s="583">
        <v>1.1523099999999999</v>
      </c>
      <c r="G20" s="563">
        <v>1488.3147764056548</v>
      </c>
      <c r="H20" s="582">
        <v>0.15</v>
      </c>
      <c r="I20" s="563">
        <v>223.24721646084822</v>
      </c>
      <c r="K20" s="585" t="s">
        <v>557</v>
      </c>
      <c r="L20" s="584"/>
      <c r="M20" s="584" t="s">
        <v>556</v>
      </c>
      <c r="N20" s="563" t="s">
        <v>556</v>
      </c>
      <c r="O20" s="583">
        <v>1.2204200000000001</v>
      </c>
      <c r="P20" s="563" t="s">
        <v>556</v>
      </c>
      <c r="Q20" s="582">
        <v>0.15</v>
      </c>
      <c r="R20" s="563">
        <v>0</v>
      </c>
      <c r="T20" s="587" t="s">
        <v>557</v>
      </c>
      <c r="U20" s="584">
        <v>24996.650000000005</v>
      </c>
      <c r="V20" s="584">
        <v>3362.0226249999996</v>
      </c>
      <c r="W20" s="563">
        <v>21634.627375000004</v>
      </c>
      <c r="X20" s="583">
        <v>1.2986200000000001</v>
      </c>
      <c r="Y20" s="563">
        <v>16659.705976344121</v>
      </c>
      <c r="Z20" s="582">
        <v>0.15</v>
      </c>
      <c r="AA20" s="563">
        <v>2498.9558964516182</v>
      </c>
      <c r="AC20" s="586" t="s">
        <v>557</v>
      </c>
      <c r="AD20" s="584">
        <v>27430.799999999999</v>
      </c>
      <c r="AE20" s="584">
        <v>3773.8890000000001</v>
      </c>
      <c r="AF20" s="563">
        <v>23656.911</v>
      </c>
      <c r="AG20" s="583">
        <v>1.4372199999999999</v>
      </c>
      <c r="AH20" s="563">
        <v>16460.187723521798</v>
      </c>
      <c r="AI20" s="582">
        <v>0.15</v>
      </c>
      <c r="AJ20" s="563">
        <v>2469.0281585282696</v>
      </c>
      <c r="AL20" s="586" t="s">
        <v>557</v>
      </c>
      <c r="AM20" s="584">
        <v>57247.46</v>
      </c>
      <c r="AN20" s="584">
        <v>7258.5965500000002</v>
      </c>
      <c r="AO20" s="563">
        <v>49988.863449999997</v>
      </c>
      <c r="AP20" s="583">
        <v>1.52759</v>
      </c>
      <c r="AQ20" s="563">
        <v>32724.005426848824</v>
      </c>
      <c r="AR20" s="582">
        <v>0.15</v>
      </c>
      <c r="AS20" s="563">
        <v>4908.6008140273234</v>
      </c>
      <c r="AU20" s="585" t="s">
        <v>557</v>
      </c>
      <c r="AV20" s="584">
        <v>77666.55</v>
      </c>
      <c r="AW20" s="584">
        <v>10064.006374999999</v>
      </c>
      <c r="AX20" s="563">
        <v>67602.543625000006</v>
      </c>
      <c r="AY20" s="583">
        <v>1.5726199999999999</v>
      </c>
      <c r="AZ20" s="563">
        <v>42987.208368836727</v>
      </c>
      <c r="BA20" s="582">
        <v>0.15</v>
      </c>
      <c r="BB20" s="563">
        <v>6448.0812553255091</v>
      </c>
      <c r="BD20" s="585" t="s">
        <v>557</v>
      </c>
      <c r="BE20" s="584">
        <v>90920.779999999984</v>
      </c>
      <c r="BF20" s="584">
        <v>11930.85865</v>
      </c>
      <c r="BG20" s="563">
        <f>BE20-BF20</f>
        <v>78989.92134999999</v>
      </c>
      <c r="BH20" s="583">
        <f>'Série Histórica IPCA'!J363</f>
        <v>1.6315217078390041</v>
      </c>
      <c r="BI20" s="563">
        <f t="shared" si="22"/>
        <v>48414.876106444419</v>
      </c>
      <c r="BJ20" s="582">
        <v>0.15</v>
      </c>
      <c r="BK20" s="563">
        <f t="shared" si="20"/>
        <v>7262.231415966663</v>
      </c>
      <c r="BM20" s="585" t="s">
        <v>557</v>
      </c>
      <c r="BN20" s="584">
        <v>112059.3175</v>
      </c>
      <c r="BO20" s="584">
        <v>8595.7745887500005</v>
      </c>
      <c r="BP20" s="563">
        <f t="shared" si="4"/>
        <v>103463.54291125</v>
      </c>
      <c r="BQ20" s="583">
        <f>'Série Histórica IPCA'!J384</f>
        <v>1.7017775062454219</v>
      </c>
      <c r="BR20" s="631">
        <f t="shared" si="5"/>
        <v>60797.338389739532</v>
      </c>
      <c r="BS20" s="582">
        <v>0.15</v>
      </c>
      <c r="BT20" s="563">
        <f t="shared" si="6"/>
        <v>9119.6007584609288</v>
      </c>
      <c r="BV20" s="585" t="s">
        <v>557</v>
      </c>
      <c r="BW20" s="584">
        <v>108222.24</v>
      </c>
      <c r="BX20" s="584">
        <v>9187.7907599999999</v>
      </c>
      <c r="BY20" s="563">
        <f t="shared" si="23"/>
        <v>99034.449240000002</v>
      </c>
      <c r="BZ20" s="583">
        <f>'Série Histórica IPCA'!J397</f>
        <v>1.7786545713929292</v>
      </c>
      <c r="CA20" s="631">
        <f>BY20/BZ20</f>
        <v>55679.416809101116</v>
      </c>
      <c r="CB20" s="582">
        <v>0.15</v>
      </c>
      <c r="CC20" s="563">
        <f t="shared" si="21"/>
        <v>8351.9125213651678</v>
      </c>
      <c r="CE20" s="585" t="s">
        <v>557</v>
      </c>
      <c r="CF20" s="584">
        <v>129628.34</v>
      </c>
      <c r="CG20" s="584">
        <v>11212.85</v>
      </c>
      <c r="CH20" s="563">
        <f t="shared" si="9"/>
        <v>118415.48999999999</v>
      </c>
      <c r="CI20" s="583">
        <f>'Série Histórica IPCA'!J410</f>
        <v>1.9576047007795183</v>
      </c>
      <c r="CJ20" s="774">
        <f t="shared" si="17"/>
        <v>60489.990626221392</v>
      </c>
      <c r="CK20" s="582">
        <v>0.15</v>
      </c>
      <c r="CL20" s="563">
        <f t="shared" si="1"/>
        <v>9073.4985939332091</v>
      </c>
      <c r="CN20" s="585" t="s">
        <v>557</v>
      </c>
      <c r="CO20" s="584">
        <v>136153.56</v>
      </c>
      <c r="CP20" s="584">
        <v>11777.282939999999</v>
      </c>
      <c r="CQ20" s="563">
        <f t="shared" si="10"/>
        <v>124376.27705999999</v>
      </c>
      <c r="CR20" s="583">
        <v>2.0708539514888256</v>
      </c>
      <c r="CS20" s="563">
        <f t="shared" si="11"/>
        <v>60060.380873591093</v>
      </c>
      <c r="CT20" s="582">
        <v>0.15</v>
      </c>
      <c r="CU20" s="563">
        <f t="shared" si="12"/>
        <v>9009.057131038664</v>
      </c>
      <c r="CW20" s="585" t="s">
        <v>557</v>
      </c>
      <c r="CX20" s="584">
        <v>146399.65</v>
      </c>
      <c r="CY20" s="584">
        <v>12663.569725000001</v>
      </c>
      <c r="CZ20" s="563">
        <f t="shared" si="13"/>
        <v>133736.08027499999</v>
      </c>
      <c r="DA20" s="583">
        <v>2.1665520473148687</v>
      </c>
      <c r="DB20" s="563">
        <f t="shared" si="24"/>
        <v>61727.610209386257</v>
      </c>
      <c r="DC20" s="582">
        <v>0.15</v>
      </c>
      <c r="DD20" s="563">
        <f t="shared" si="25"/>
        <v>9259.1415314079386</v>
      </c>
      <c r="DF20" s="585" t="s">
        <v>557</v>
      </c>
      <c r="DG20" s="584"/>
      <c r="DH20" s="584" t="s">
        <v>556</v>
      </c>
      <c r="DI20" s="563"/>
      <c r="DJ20" s="583"/>
      <c r="DK20" s="563"/>
      <c r="DL20" s="582"/>
      <c r="DM20" s="563"/>
      <c r="DO20" s="585" t="s">
        <v>557</v>
      </c>
      <c r="DP20" s="584"/>
      <c r="DQ20" s="584" t="s">
        <v>556</v>
      </c>
      <c r="DR20" s="563" t="s">
        <v>556</v>
      </c>
      <c r="DS20" s="583">
        <v>0</v>
      </c>
      <c r="DT20" s="563" t="s">
        <v>556</v>
      </c>
      <c r="DU20" s="582">
        <v>0.15</v>
      </c>
      <c r="DV20" s="563">
        <v>0</v>
      </c>
      <c r="DX20" s="585" t="s">
        <v>557</v>
      </c>
      <c r="DY20" s="584"/>
      <c r="DZ20" s="584" t="s">
        <v>556</v>
      </c>
      <c r="EA20" s="563" t="s">
        <v>556</v>
      </c>
      <c r="EB20" s="583">
        <v>0</v>
      </c>
      <c r="EC20" s="563" t="s">
        <v>556</v>
      </c>
      <c r="ED20" s="582">
        <v>0.15</v>
      </c>
      <c r="EE20" s="563">
        <v>0</v>
      </c>
      <c r="EG20" s="585" t="s">
        <v>557</v>
      </c>
      <c r="EH20" s="584"/>
      <c r="EI20" s="584" t="s">
        <v>556</v>
      </c>
      <c r="EJ20" s="563" t="s">
        <v>556</v>
      </c>
      <c r="EK20" s="583">
        <v>0</v>
      </c>
      <c r="EL20" s="563" t="s">
        <v>556</v>
      </c>
      <c r="EM20" s="582">
        <v>0.15</v>
      </c>
      <c r="EN20" s="563">
        <v>0</v>
      </c>
      <c r="EP20" s="585" t="s">
        <v>557</v>
      </c>
      <c r="EQ20" s="584"/>
      <c r="ER20" s="584" t="s">
        <v>556</v>
      </c>
      <c r="ES20" s="563" t="s">
        <v>556</v>
      </c>
      <c r="ET20" s="583">
        <v>0</v>
      </c>
      <c r="EU20" s="563" t="s">
        <v>556</v>
      </c>
      <c r="EV20" s="582">
        <v>0.15</v>
      </c>
      <c r="EW20" s="563">
        <v>0</v>
      </c>
      <c r="EY20" s="585" t="s">
        <v>557</v>
      </c>
      <c r="EZ20" s="584"/>
      <c r="FA20" s="584" t="s">
        <v>556</v>
      </c>
      <c r="FB20" s="563" t="s">
        <v>556</v>
      </c>
      <c r="FC20" s="583">
        <v>0</v>
      </c>
      <c r="FD20" s="563" t="s">
        <v>556</v>
      </c>
      <c r="FE20" s="582">
        <v>0.15</v>
      </c>
      <c r="FF20" s="563">
        <v>0</v>
      </c>
      <c r="FH20" s="585" t="s">
        <v>557</v>
      </c>
      <c r="FI20" s="584"/>
      <c r="FJ20" s="584" t="s">
        <v>556</v>
      </c>
      <c r="FK20" s="563" t="s">
        <v>556</v>
      </c>
      <c r="FL20" s="583">
        <v>0</v>
      </c>
      <c r="FM20" s="563" t="s">
        <v>556</v>
      </c>
      <c r="FN20" s="582">
        <v>0.15</v>
      </c>
      <c r="FO20" s="563">
        <v>0</v>
      </c>
      <c r="FQ20" s="585" t="s">
        <v>557</v>
      </c>
      <c r="FR20" s="584"/>
      <c r="FS20" s="584" t="s">
        <v>556</v>
      </c>
      <c r="FT20" s="563" t="s">
        <v>556</v>
      </c>
      <c r="FU20" s="583">
        <v>0</v>
      </c>
      <c r="FV20" s="563" t="s">
        <v>556</v>
      </c>
      <c r="FW20" s="582">
        <v>0.15</v>
      </c>
      <c r="FX20" s="563">
        <v>0</v>
      </c>
      <c r="FZ20" s="585" t="s">
        <v>557</v>
      </c>
      <c r="GA20" s="584"/>
      <c r="GB20" s="584" t="s">
        <v>556</v>
      </c>
      <c r="GC20" s="563" t="s">
        <v>556</v>
      </c>
      <c r="GD20" s="583">
        <v>0</v>
      </c>
      <c r="GE20" s="563" t="s">
        <v>556</v>
      </c>
      <c r="GF20" s="582">
        <v>0.15</v>
      </c>
      <c r="GG20" s="563">
        <v>0</v>
      </c>
      <c r="GI20" s="585" t="s">
        <v>557</v>
      </c>
      <c r="GJ20" s="584"/>
      <c r="GK20" s="584" t="s">
        <v>556</v>
      </c>
      <c r="GL20" s="563" t="s">
        <v>556</v>
      </c>
      <c r="GM20" s="583">
        <v>0</v>
      </c>
      <c r="GN20" s="563" t="s">
        <v>556</v>
      </c>
      <c r="GO20" s="582">
        <v>0.15</v>
      </c>
      <c r="GP20" s="563">
        <v>0</v>
      </c>
      <c r="GR20" s="585" t="s">
        <v>557</v>
      </c>
      <c r="GS20" s="584"/>
      <c r="GT20" s="584" t="s">
        <v>556</v>
      </c>
      <c r="GU20" s="563" t="s">
        <v>556</v>
      </c>
      <c r="GV20" s="583">
        <v>0</v>
      </c>
      <c r="GW20" s="563" t="s">
        <v>556</v>
      </c>
      <c r="GX20" s="582">
        <v>0.15</v>
      </c>
      <c r="GY20" s="563">
        <v>0</v>
      </c>
      <c r="HA20" s="585" t="s">
        <v>557</v>
      </c>
      <c r="HB20" s="584"/>
      <c r="HC20" s="584" t="s">
        <v>556</v>
      </c>
      <c r="HD20" s="563" t="s">
        <v>556</v>
      </c>
      <c r="HE20" s="583">
        <v>0</v>
      </c>
      <c r="HF20" s="563" t="s">
        <v>556</v>
      </c>
      <c r="HG20" s="582">
        <v>0.15</v>
      </c>
      <c r="HH20" s="563">
        <v>0</v>
      </c>
      <c r="HJ20" s="585" t="s">
        <v>557</v>
      </c>
      <c r="HK20" s="584"/>
      <c r="HL20" s="584" t="s">
        <v>556</v>
      </c>
      <c r="HM20" s="563" t="s">
        <v>556</v>
      </c>
      <c r="HN20" s="583">
        <v>0</v>
      </c>
      <c r="HO20" s="563" t="s">
        <v>556</v>
      </c>
      <c r="HP20" s="582">
        <v>0.15</v>
      </c>
      <c r="HQ20" s="563">
        <v>0</v>
      </c>
      <c r="HS20" s="585" t="s">
        <v>557</v>
      </c>
      <c r="HT20" s="584"/>
      <c r="HU20" s="584" t="s">
        <v>556</v>
      </c>
      <c r="HV20" s="563" t="s">
        <v>556</v>
      </c>
      <c r="HW20" s="583">
        <v>0</v>
      </c>
      <c r="HX20" s="563" t="s">
        <v>556</v>
      </c>
      <c r="HY20" s="582">
        <v>0.15</v>
      </c>
      <c r="HZ20" s="563">
        <v>0</v>
      </c>
      <c r="IB20" s="585" t="s">
        <v>557</v>
      </c>
      <c r="IC20" s="584"/>
      <c r="ID20" s="584" t="s">
        <v>556</v>
      </c>
      <c r="IE20" s="563" t="s">
        <v>556</v>
      </c>
      <c r="IF20" s="583">
        <v>0</v>
      </c>
      <c r="IG20" s="563" t="s">
        <v>556</v>
      </c>
      <c r="IH20" s="582">
        <v>0.15</v>
      </c>
      <c r="II20" s="563">
        <v>0</v>
      </c>
      <c r="IK20" s="585" t="s">
        <v>557</v>
      </c>
      <c r="IL20" s="584"/>
      <c r="IM20" s="584" t="s">
        <v>556</v>
      </c>
      <c r="IN20" s="563" t="s">
        <v>556</v>
      </c>
      <c r="IO20" s="583">
        <v>0</v>
      </c>
      <c r="IP20" s="563" t="s">
        <v>556</v>
      </c>
      <c r="IQ20" s="582">
        <v>0.15</v>
      </c>
      <c r="IR20" s="563">
        <v>0</v>
      </c>
      <c r="IT20" s="585" t="s">
        <v>557</v>
      </c>
      <c r="IU20" s="584"/>
      <c r="IV20" s="584" t="s">
        <v>556</v>
      </c>
      <c r="IW20" s="563" t="s">
        <v>556</v>
      </c>
      <c r="IX20" s="583">
        <v>0</v>
      </c>
      <c r="IY20" s="563" t="s">
        <v>556</v>
      </c>
      <c r="IZ20" s="582">
        <v>0.15</v>
      </c>
      <c r="JA20" s="563">
        <v>0</v>
      </c>
      <c r="JC20" s="585" t="s">
        <v>557</v>
      </c>
      <c r="JD20" s="584"/>
      <c r="JE20" s="584" t="s">
        <v>556</v>
      </c>
      <c r="JF20" s="563" t="s">
        <v>556</v>
      </c>
      <c r="JG20" s="583">
        <v>0</v>
      </c>
      <c r="JH20" s="563" t="s">
        <v>556</v>
      </c>
      <c r="JI20" s="582">
        <v>0.15</v>
      </c>
      <c r="JJ20" s="563">
        <v>0</v>
      </c>
      <c r="JL20" s="585" t="s">
        <v>557</v>
      </c>
      <c r="JM20" s="584"/>
      <c r="JN20" s="584" t="s">
        <v>556</v>
      </c>
      <c r="JO20" s="563" t="s">
        <v>556</v>
      </c>
      <c r="JP20" s="583">
        <v>0</v>
      </c>
      <c r="JQ20" s="563" t="s">
        <v>556</v>
      </c>
      <c r="JR20" s="582">
        <v>0.15</v>
      </c>
      <c r="JS20" s="563">
        <v>0</v>
      </c>
      <c r="JU20" s="585" t="s">
        <v>557</v>
      </c>
      <c r="JV20" s="584"/>
      <c r="JW20" s="584" t="s">
        <v>556</v>
      </c>
      <c r="JX20" s="563" t="s">
        <v>556</v>
      </c>
      <c r="JY20" s="583">
        <v>0</v>
      </c>
      <c r="JZ20" s="563" t="s">
        <v>556</v>
      </c>
      <c r="KA20" s="582">
        <v>0.15</v>
      </c>
      <c r="KB20" s="563">
        <v>0</v>
      </c>
      <c r="KD20" s="585" t="s">
        <v>557</v>
      </c>
      <c r="KE20" s="584"/>
      <c r="KF20" s="584" t="s">
        <v>556</v>
      </c>
      <c r="KG20" s="563" t="s">
        <v>556</v>
      </c>
      <c r="KH20" s="583">
        <v>0</v>
      </c>
      <c r="KI20" s="563" t="s">
        <v>556</v>
      </c>
      <c r="KJ20" s="582">
        <v>0.15</v>
      </c>
      <c r="KK20" s="563">
        <v>0</v>
      </c>
      <c r="KM20" s="585" t="s">
        <v>557</v>
      </c>
      <c r="KN20" s="584"/>
      <c r="KO20" s="584" t="s">
        <v>556</v>
      </c>
      <c r="KP20" s="563" t="s">
        <v>556</v>
      </c>
      <c r="KQ20" s="583">
        <v>0</v>
      </c>
      <c r="KR20" s="563" t="s">
        <v>556</v>
      </c>
      <c r="KS20" s="582">
        <v>0.15</v>
      </c>
      <c r="KT20" s="563">
        <v>0</v>
      </c>
      <c r="KV20" s="585" t="s">
        <v>557</v>
      </c>
      <c r="KW20" s="584"/>
      <c r="KX20" s="584" t="s">
        <v>556</v>
      </c>
      <c r="KY20" s="563" t="s">
        <v>556</v>
      </c>
      <c r="KZ20" s="583">
        <v>0</v>
      </c>
      <c r="LA20" s="563" t="s">
        <v>556</v>
      </c>
      <c r="LB20" s="582">
        <v>0.15</v>
      </c>
      <c r="LC20" s="563">
        <v>0</v>
      </c>
    </row>
    <row r="21" spans="2:315">
      <c r="B21" s="580" t="s">
        <v>525</v>
      </c>
      <c r="C21" s="578">
        <v>6000</v>
      </c>
      <c r="D21" s="581">
        <v>855</v>
      </c>
      <c r="E21" s="578">
        <v>5145</v>
      </c>
      <c r="F21" s="578"/>
      <c r="G21" s="578">
        <v>4488.454724624813</v>
      </c>
      <c r="H21" s="579"/>
      <c r="I21" s="578">
        <v>673.26820869372204</v>
      </c>
      <c r="K21" s="580" t="s">
        <v>525</v>
      </c>
      <c r="L21" s="578">
        <v>2000</v>
      </c>
      <c r="M21" s="578">
        <v>285</v>
      </c>
      <c r="N21" s="578">
        <v>1715</v>
      </c>
      <c r="O21" s="578"/>
      <c r="P21" s="578">
        <v>1475.6242363752128</v>
      </c>
      <c r="Q21" s="579"/>
      <c r="R21" s="578">
        <v>221.34363545628193</v>
      </c>
      <c r="T21" s="580" t="s">
        <v>525</v>
      </c>
      <c r="U21" s="578">
        <v>85169.84</v>
      </c>
      <c r="V21" s="578">
        <v>11936.7022</v>
      </c>
      <c r="W21" s="578">
        <v>73233.137799999997</v>
      </c>
      <c r="X21" s="578"/>
      <c r="Y21" s="578">
        <v>57144.415800443705</v>
      </c>
      <c r="Z21" s="579"/>
      <c r="AA21" s="578">
        <v>8571.662370066555</v>
      </c>
      <c r="AC21" s="580" t="s">
        <v>525</v>
      </c>
      <c r="AD21" s="578">
        <v>504184.67999999993</v>
      </c>
      <c r="AE21" s="578">
        <v>70466.316899999991</v>
      </c>
      <c r="AF21" s="578">
        <v>433718.36309999996</v>
      </c>
      <c r="AG21" s="578"/>
      <c r="AH21" s="578">
        <v>314845.87279956642</v>
      </c>
      <c r="AI21" s="579"/>
      <c r="AJ21" s="578">
        <v>47226.880919934978</v>
      </c>
      <c r="AL21" s="580" t="s">
        <v>525</v>
      </c>
      <c r="AM21" s="578">
        <v>584453.30000000005</v>
      </c>
      <c r="AN21" s="578">
        <v>83704.959250000014</v>
      </c>
      <c r="AO21" s="578">
        <v>500748.34075000003</v>
      </c>
      <c r="AP21" s="578"/>
      <c r="AQ21" s="578">
        <v>333556.06483521196</v>
      </c>
      <c r="AR21" s="579"/>
      <c r="AS21" s="578">
        <v>50033.409725281788</v>
      </c>
      <c r="AU21" s="580" t="s">
        <v>525</v>
      </c>
      <c r="AV21" s="578">
        <v>793980.16999999993</v>
      </c>
      <c r="AW21" s="578">
        <v>111550.79722499999</v>
      </c>
      <c r="AX21" s="578">
        <v>682429.37277500005</v>
      </c>
      <c r="AY21" s="578"/>
      <c r="AZ21" s="578">
        <v>439822.80072556972</v>
      </c>
      <c r="BA21" s="579"/>
      <c r="BB21" s="578">
        <v>65973.42010883546</v>
      </c>
      <c r="BD21" s="580" t="s">
        <v>525</v>
      </c>
      <c r="BE21" s="578">
        <f>SUM(BE9:BE20)</f>
        <v>1214937.24</v>
      </c>
      <c r="BF21" s="578">
        <f t="shared" ref="BF21:BG21" si="26">SUM(BF9:BF20)</f>
        <v>171246.18070000003</v>
      </c>
      <c r="BG21" s="578">
        <f t="shared" si="26"/>
        <v>1043691.0593000001</v>
      </c>
      <c r="BH21" s="578"/>
      <c r="BI21" s="578">
        <f>SUM(BI9:BI20)</f>
        <v>650339.68184788502</v>
      </c>
      <c r="BJ21" s="579"/>
      <c r="BK21" s="578">
        <f>SUM(BK9:BK20)</f>
        <v>97550.952277182732</v>
      </c>
      <c r="BM21" s="580" t="s">
        <v>525</v>
      </c>
      <c r="BN21" s="578">
        <f>SUM(BN9:BN20)</f>
        <v>1161528.875</v>
      </c>
      <c r="BO21" s="578">
        <f>SUM(BO9:BO20)</f>
        <v>122311.26781750002</v>
      </c>
      <c r="BP21" s="578">
        <f>SUM(BP9:BP20)</f>
        <v>1039217.6071825002</v>
      </c>
      <c r="BQ21" s="578"/>
      <c r="BR21" s="578">
        <f>SUM(BR9:BR20)</f>
        <v>622510.63178711582</v>
      </c>
      <c r="BS21" s="579"/>
      <c r="BT21" s="578">
        <f>SUM(BT9:BT20)</f>
        <v>93376.594768067371</v>
      </c>
      <c r="BV21" s="580" t="s">
        <v>525</v>
      </c>
      <c r="BW21" s="578">
        <f t="shared" ref="BW21:BX21" si="27">SUM(BW9:BW20)</f>
        <v>1233665.2750000001</v>
      </c>
      <c r="BX21" s="578">
        <f t="shared" si="27"/>
        <v>108581.40088750003</v>
      </c>
      <c r="BY21" s="578">
        <f>SUM(BY9:BY20)</f>
        <v>1125083.8741124999</v>
      </c>
      <c r="BZ21" s="578"/>
      <c r="CA21" s="578">
        <f>SUM(CA9:CA20)</f>
        <v>653814.1611875688</v>
      </c>
      <c r="CB21" s="579"/>
      <c r="CC21" s="578">
        <f>SUM(CC9:CC20)</f>
        <v>98072.124178135331</v>
      </c>
      <c r="CE21" s="580" t="s">
        <v>525</v>
      </c>
      <c r="CF21" s="578">
        <f t="shared" ref="CF21:CG21" si="28">SUM(CF9:CF20)</f>
        <v>1750160.09</v>
      </c>
      <c r="CG21" s="578">
        <f t="shared" si="28"/>
        <v>151388.83819500002</v>
      </c>
      <c r="CH21" s="578">
        <f>SUM(CH9:CH20)</f>
        <v>1598771.2518050002</v>
      </c>
      <c r="CI21" s="578"/>
      <c r="CJ21" s="578">
        <f>SUM(CJ9:CJ20)</f>
        <v>859892.62764871982</v>
      </c>
      <c r="CK21" s="579"/>
      <c r="CL21" s="578">
        <f>SUM(CL9:CL20)</f>
        <v>128983.89414730798</v>
      </c>
      <c r="CN21" s="580" t="s">
        <v>525</v>
      </c>
      <c r="CO21" s="578">
        <f>SUM(CO9:CO20)</f>
        <v>2152059.9500000002</v>
      </c>
      <c r="CP21" s="578">
        <f>SUM(CP9:CP20)</f>
        <v>186153.18567499999</v>
      </c>
      <c r="CQ21" s="581">
        <f t="shared" si="10"/>
        <v>1965906.7643250001</v>
      </c>
      <c r="CR21" s="578"/>
      <c r="CS21" s="578">
        <f>SUM(CS9:CS20)</f>
        <v>964839.59183595527</v>
      </c>
      <c r="CT21" s="579"/>
      <c r="CU21" s="578">
        <f>SUM(CU9:CU20)</f>
        <v>144725.93877539333</v>
      </c>
      <c r="CW21" s="580" t="s">
        <v>525</v>
      </c>
      <c r="CX21" s="578">
        <f>SUM(CX9:CX20)</f>
        <v>2037576.4299999995</v>
      </c>
      <c r="CY21" s="578">
        <f>SUM(CY9:CY20)</f>
        <v>176250.36119499998</v>
      </c>
      <c r="CZ21" s="581">
        <f t="shared" ref="CZ21" si="29">CX21-CY21</f>
        <v>1861326.0688049996</v>
      </c>
      <c r="DA21" s="578"/>
      <c r="DB21" s="578">
        <f>SUM(DB9:DB20)</f>
        <v>876083.01430485526</v>
      </c>
      <c r="DC21" s="579"/>
      <c r="DD21" s="578">
        <f>SUM(DD9:DD20)</f>
        <v>131412.45214572831</v>
      </c>
      <c r="DF21" s="580" t="s">
        <v>525</v>
      </c>
      <c r="DG21" s="578">
        <f>SUM(DG9:DG20)</f>
        <v>1572391.6300000001</v>
      </c>
      <c r="DH21" s="578">
        <f>SUM(DH9:DH20)</f>
        <v>136011.87599500001</v>
      </c>
      <c r="DI21" s="581">
        <f t="shared" ref="DI21" si="30">DG21-DH21</f>
        <v>1436379.754005</v>
      </c>
      <c r="DJ21" s="578"/>
      <c r="DK21" s="578">
        <f>SUM(DK9:DK20)</f>
        <v>648507.4511562956</v>
      </c>
      <c r="DL21" s="579"/>
      <c r="DM21" s="578">
        <f>SUM(DM9:DM20)</f>
        <v>97276.117673444329</v>
      </c>
      <c r="DO21" s="580" t="s">
        <v>525</v>
      </c>
      <c r="DP21" s="578">
        <v>0</v>
      </c>
      <c r="DQ21" s="578">
        <v>0</v>
      </c>
      <c r="DR21" s="578">
        <v>0</v>
      </c>
      <c r="DS21" s="578"/>
      <c r="DT21" s="578">
        <v>0</v>
      </c>
      <c r="DU21" s="579"/>
      <c r="DV21" s="578">
        <v>0</v>
      </c>
      <c r="DX21" s="580" t="s">
        <v>525</v>
      </c>
      <c r="DY21" s="578">
        <v>0</v>
      </c>
      <c r="DZ21" s="578">
        <v>0</v>
      </c>
      <c r="EA21" s="578">
        <v>0</v>
      </c>
      <c r="EB21" s="578"/>
      <c r="EC21" s="578">
        <v>0</v>
      </c>
      <c r="ED21" s="579"/>
      <c r="EE21" s="578">
        <v>0</v>
      </c>
      <c r="EG21" s="580" t="s">
        <v>525</v>
      </c>
      <c r="EH21" s="578">
        <v>0</v>
      </c>
      <c r="EI21" s="578">
        <v>0</v>
      </c>
      <c r="EJ21" s="578">
        <v>0</v>
      </c>
      <c r="EK21" s="578"/>
      <c r="EL21" s="578">
        <v>0</v>
      </c>
      <c r="EM21" s="579"/>
      <c r="EN21" s="578">
        <v>0</v>
      </c>
      <c r="EP21" s="580" t="s">
        <v>525</v>
      </c>
      <c r="EQ21" s="578">
        <v>0</v>
      </c>
      <c r="ER21" s="578">
        <v>0</v>
      </c>
      <c r="ES21" s="578">
        <v>0</v>
      </c>
      <c r="ET21" s="578"/>
      <c r="EU21" s="578">
        <v>0</v>
      </c>
      <c r="EV21" s="579"/>
      <c r="EW21" s="578">
        <v>0</v>
      </c>
      <c r="EY21" s="580" t="s">
        <v>525</v>
      </c>
      <c r="EZ21" s="578">
        <v>0</v>
      </c>
      <c r="FA21" s="578">
        <v>0</v>
      </c>
      <c r="FB21" s="578">
        <v>0</v>
      </c>
      <c r="FC21" s="578"/>
      <c r="FD21" s="578">
        <v>0</v>
      </c>
      <c r="FE21" s="579"/>
      <c r="FF21" s="578">
        <v>0</v>
      </c>
      <c r="FH21" s="580" t="s">
        <v>525</v>
      </c>
      <c r="FI21" s="578">
        <v>0</v>
      </c>
      <c r="FJ21" s="578">
        <v>0</v>
      </c>
      <c r="FK21" s="578">
        <v>0</v>
      </c>
      <c r="FL21" s="578"/>
      <c r="FM21" s="578">
        <v>0</v>
      </c>
      <c r="FN21" s="579"/>
      <c r="FO21" s="578">
        <v>0</v>
      </c>
      <c r="FQ21" s="580" t="s">
        <v>525</v>
      </c>
      <c r="FR21" s="578">
        <v>0</v>
      </c>
      <c r="FS21" s="578">
        <v>0</v>
      </c>
      <c r="FT21" s="578">
        <v>0</v>
      </c>
      <c r="FU21" s="578"/>
      <c r="FV21" s="578">
        <v>0</v>
      </c>
      <c r="FW21" s="579"/>
      <c r="FX21" s="578">
        <v>0</v>
      </c>
      <c r="FZ21" s="580" t="s">
        <v>525</v>
      </c>
      <c r="GA21" s="578">
        <v>0</v>
      </c>
      <c r="GB21" s="578">
        <v>0</v>
      </c>
      <c r="GC21" s="578">
        <v>0</v>
      </c>
      <c r="GD21" s="578"/>
      <c r="GE21" s="578">
        <v>0</v>
      </c>
      <c r="GF21" s="579"/>
      <c r="GG21" s="578">
        <v>0</v>
      </c>
      <c r="GI21" s="580" t="s">
        <v>525</v>
      </c>
      <c r="GJ21" s="578">
        <v>0</v>
      </c>
      <c r="GK21" s="578">
        <v>0</v>
      </c>
      <c r="GL21" s="578">
        <v>0</v>
      </c>
      <c r="GM21" s="578"/>
      <c r="GN21" s="578">
        <v>0</v>
      </c>
      <c r="GO21" s="579"/>
      <c r="GP21" s="578">
        <v>0</v>
      </c>
      <c r="GR21" s="580" t="s">
        <v>525</v>
      </c>
      <c r="GS21" s="578">
        <v>0</v>
      </c>
      <c r="GT21" s="578">
        <v>0</v>
      </c>
      <c r="GU21" s="578">
        <v>0</v>
      </c>
      <c r="GV21" s="578"/>
      <c r="GW21" s="578">
        <v>0</v>
      </c>
      <c r="GX21" s="579"/>
      <c r="GY21" s="578">
        <v>0</v>
      </c>
      <c r="HA21" s="580" t="s">
        <v>525</v>
      </c>
      <c r="HB21" s="578">
        <v>0</v>
      </c>
      <c r="HC21" s="578">
        <v>0</v>
      </c>
      <c r="HD21" s="578">
        <v>0</v>
      </c>
      <c r="HE21" s="578"/>
      <c r="HF21" s="578">
        <v>0</v>
      </c>
      <c r="HG21" s="579"/>
      <c r="HH21" s="578">
        <v>0</v>
      </c>
      <c r="HJ21" s="580" t="s">
        <v>525</v>
      </c>
      <c r="HK21" s="578">
        <v>0</v>
      </c>
      <c r="HL21" s="578">
        <v>0</v>
      </c>
      <c r="HM21" s="578">
        <v>0</v>
      </c>
      <c r="HN21" s="578"/>
      <c r="HO21" s="578">
        <v>0</v>
      </c>
      <c r="HP21" s="579"/>
      <c r="HQ21" s="578">
        <v>0</v>
      </c>
      <c r="HS21" s="580" t="s">
        <v>525</v>
      </c>
      <c r="HT21" s="578">
        <v>0</v>
      </c>
      <c r="HU21" s="578">
        <v>0</v>
      </c>
      <c r="HV21" s="578">
        <v>0</v>
      </c>
      <c r="HW21" s="578"/>
      <c r="HX21" s="578">
        <v>0</v>
      </c>
      <c r="HY21" s="579"/>
      <c r="HZ21" s="578">
        <v>0</v>
      </c>
      <c r="IB21" s="580" t="s">
        <v>525</v>
      </c>
      <c r="IC21" s="578">
        <v>0</v>
      </c>
      <c r="ID21" s="578">
        <v>0</v>
      </c>
      <c r="IE21" s="578">
        <v>0</v>
      </c>
      <c r="IF21" s="578"/>
      <c r="IG21" s="578">
        <v>0</v>
      </c>
      <c r="IH21" s="579"/>
      <c r="II21" s="578">
        <v>0</v>
      </c>
      <c r="IK21" s="580" t="s">
        <v>525</v>
      </c>
      <c r="IL21" s="578">
        <v>0</v>
      </c>
      <c r="IM21" s="578">
        <v>0</v>
      </c>
      <c r="IN21" s="578">
        <v>0</v>
      </c>
      <c r="IO21" s="578"/>
      <c r="IP21" s="578">
        <v>0</v>
      </c>
      <c r="IQ21" s="579"/>
      <c r="IR21" s="578">
        <v>0</v>
      </c>
      <c r="IT21" s="580" t="s">
        <v>525</v>
      </c>
      <c r="IU21" s="578">
        <v>0</v>
      </c>
      <c r="IV21" s="578">
        <v>0</v>
      </c>
      <c r="IW21" s="578">
        <v>0</v>
      </c>
      <c r="IX21" s="578"/>
      <c r="IY21" s="578">
        <v>0</v>
      </c>
      <c r="IZ21" s="579"/>
      <c r="JA21" s="578">
        <v>0</v>
      </c>
      <c r="JC21" s="580" t="s">
        <v>525</v>
      </c>
      <c r="JD21" s="578">
        <v>0</v>
      </c>
      <c r="JE21" s="578">
        <v>0</v>
      </c>
      <c r="JF21" s="578">
        <v>0</v>
      </c>
      <c r="JG21" s="578"/>
      <c r="JH21" s="578">
        <v>0</v>
      </c>
      <c r="JI21" s="579"/>
      <c r="JJ21" s="578">
        <v>0</v>
      </c>
      <c r="JL21" s="580" t="s">
        <v>525</v>
      </c>
      <c r="JM21" s="578">
        <v>0</v>
      </c>
      <c r="JN21" s="578">
        <v>0</v>
      </c>
      <c r="JO21" s="578">
        <v>0</v>
      </c>
      <c r="JP21" s="578"/>
      <c r="JQ21" s="578">
        <v>0</v>
      </c>
      <c r="JR21" s="579"/>
      <c r="JS21" s="578">
        <v>0</v>
      </c>
      <c r="JU21" s="580" t="s">
        <v>525</v>
      </c>
      <c r="JV21" s="578">
        <v>0</v>
      </c>
      <c r="JW21" s="578">
        <v>0</v>
      </c>
      <c r="JX21" s="578">
        <v>0</v>
      </c>
      <c r="JY21" s="578"/>
      <c r="JZ21" s="578">
        <v>0</v>
      </c>
      <c r="KA21" s="579"/>
      <c r="KB21" s="578">
        <v>0</v>
      </c>
      <c r="KD21" s="580" t="s">
        <v>525</v>
      </c>
      <c r="KE21" s="578">
        <v>0</v>
      </c>
      <c r="KF21" s="578">
        <v>0</v>
      </c>
      <c r="KG21" s="578">
        <v>0</v>
      </c>
      <c r="KH21" s="578"/>
      <c r="KI21" s="578">
        <v>0</v>
      </c>
      <c r="KJ21" s="579"/>
      <c r="KK21" s="578">
        <v>0</v>
      </c>
      <c r="KM21" s="580" t="s">
        <v>525</v>
      </c>
      <c r="KN21" s="578">
        <v>0</v>
      </c>
      <c r="KO21" s="578">
        <v>0</v>
      </c>
      <c r="KP21" s="578">
        <v>0</v>
      </c>
      <c r="KQ21" s="578"/>
      <c r="KR21" s="578">
        <v>0</v>
      </c>
      <c r="KS21" s="579"/>
      <c r="KT21" s="578">
        <v>0</v>
      </c>
      <c r="KV21" s="580" t="s">
        <v>525</v>
      </c>
      <c r="KW21" s="578">
        <v>0</v>
      </c>
      <c r="KX21" s="578">
        <v>0</v>
      </c>
      <c r="KY21" s="578">
        <v>0</v>
      </c>
      <c r="KZ21" s="578"/>
      <c r="LA21" s="578">
        <v>0</v>
      </c>
      <c r="LB21" s="579"/>
      <c r="LC21" s="578">
        <v>0</v>
      </c>
    </row>
    <row r="23" spans="2:315">
      <c r="W23" s="564"/>
    </row>
    <row r="24" spans="2:315">
      <c r="B24" s="577" t="s">
        <v>555</v>
      </c>
      <c r="BO24" s="632"/>
    </row>
    <row r="25" spans="2:315">
      <c r="AD25" s="564"/>
      <c r="BO25" s="632"/>
    </row>
    <row r="26" spans="2:315">
      <c r="B26" s="942" t="s">
        <v>516</v>
      </c>
      <c r="C26" s="942" t="s">
        <v>554</v>
      </c>
      <c r="D26" s="942"/>
      <c r="E26" s="942" t="s">
        <v>553</v>
      </c>
      <c r="G26" s="576" t="s">
        <v>552</v>
      </c>
      <c r="H26" s="576" t="s">
        <v>551</v>
      </c>
      <c r="AD26" s="564"/>
      <c r="BO26" s="632"/>
    </row>
    <row r="27" spans="2:315">
      <c r="B27" s="942"/>
      <c r="C27" s="576" t="s">
        <v>550</v>
      </c>
      <c r="D27" s="576" t="s">
        <v>549</v>
      </c>
      <c r="E27" s="942"/>
      <c r="G27" s="575" t="s">
        <v>28</v>
      </c>
      <c r="H27" s="574">
        <v>0.05</v>
      </c>
      <c r="BO27" s="632"/>
    </row>
    <row r="28" spans="2:315">
      <c r="B28" s="567">
        <v>1</v>
      </c>
      <c r="C28" s="566">
        <v>40851</v>
      </c>
      <c r="D28" s="566">
        <v>41216</v>
      </c>
      <c r="E28" s="565">
        <v>0</v>
      </c>
      <c r="F28" s="564"/>
      <c r="G28" s="565" t="s">
        <v>29</v>
      </c>
      <c r="H28" s="574">
        <v>7.5999999999999998E-2</v>
      </c>
      <c r="BO28" s="632"/>
    </row>
    <row r="29" spans="2:315">
      <c r="B29" s="567">
        <v>2</v>
      </c>
      <c r="C29" s="566">
        <v>41217</v>
      </c>
      <c r="D29" s="566">
        <v>41581</v>
      </c>
      <c r="E29" s="565">
        <f>SUM(I19:I20,R9:R18)</f>
        <v>894.611844150004</v>
      </c>
      <c r="F29" s="564"/>
      <c r="G29" s="565" t="s">
        <v>30</v>
      </c>
      <c r="H29" s="574">
        <v>1.6500000000000001E-2</v>
      </c>
      <c r="BO29" s="632"/>
    </row>
    <row r="30" spans="2:315">
      <c r="B30" s="567">
        <v>3</v>
      </c>
      <c r="C30" s="566">
        <v>41582</v>
      </c>
      <c r="D30" s="566">
        <v>41946</v>
      </c>
      <c r="E30" s="565">
        <f>SUM(R19:R20,AA9:AA18)</f>
        <v>4531.6510643240181</v>
      </c>
      <c r="F30" s="564"/>
      <c r="G30" s="573" t="s">
        <v>525</v>
      </c>
      <c r="H30" s="572">
        <v>0.14250000000000002</v>
      </c>
      <c r="BO30" s="632"/>
    </row>
    <row r="31" spans="2:315">
      <c r="B31" s="567">
        <v>4</v>
      </c>
      <c r="C31" s="566">
        <v>41947</v>
      </c>
      <c r="D31" s="566">
        <v>42311</v>
      </c>
      <c r="E31" s="565">
        <f>SUM(AA19:AA20,AJ9:AJ18)</f>
        <v>45380.917178714619</v>
      </c>
      <c r="F31" s="564"/>
      <c r="G31" s="571"/>
      <c r="H31" s="570"/>
      <c r="BO31" s="632"/>
    </row>
    <row r="32" spans="2:315">
      <c r="B32" s="567">
        <v>5</v>
      </c>
      <c r="C32" s="566">
        <v>42312</v>
      </c>
      <c r="D32" s="566">
        <v>42677</v>
      </c>
      <c r="E32" s="565">
        <f>SUM(AJ19:AJ20,AS9:AS18)</f>
        <v>46133.39632878788</v>
      </c>
      <c r="F32" s="564"/>
      <c r="G32" s="564"/>
    </row>
    <row r="33" spans="2:41">
      <c r="B33" s="567">
        <v>6</v>
      </c>
      <c r="C33" s="566">
        <v>42678</v>
      </c>
      <c r="D33" s="566">
        <v>43042</v>
      </c>
      <c r="E33" s="565">
        <f>SUM(AS19:AS20,BB9:BB18)</f>
        <v>63420.708811499921</v>
      </c>
      <c r="F33" s="564" t="s">
        <v>489</v>
      </c>
      <c r="G33" s="565">
        <v>0</v>
      </c>
      <c r="H33" s="565">
        <v>894.611844150004</v>
      </c>
      <c r="I33" s="565">
        <v>4531.6510643240181</v>
      </c>
      <c r="J33" s="565">
        <v>45380.917178714619</v>
      </c>
      <c r="K33" s="565">
        <v>46133.396328787872</v>
      </c>
      <c r="L33" s="565">
        <v>63420.708811499921</v>
      </c>
      <c r="M33" s="565">
        <v>80824.519848696698</v>
      </c>
      <c r="N33" s="565">
        <v>0</v>
      </c>
      <c r="O33" s="565">
        <v>0</v>
      </c>
      <c r="P33" s="565">
        <v>0</v>
      </c>
      <c r="Q33" s="565">
        <v>0</v>
      </c>
      <c r="R33" s="565">
        <v>0</v>
      </c>
      <c r="S33" s="565">
        <v>0</v>
      </c>
      <c r="T33" s="565">
        <v>0</v>
      </c>
      <c r="U33" s="565">
        <v>0</v>
      </c>
      <c r="V33" s="565">
        <v>0</v>
      </c>
      <c r="W33" s="565">
        <v>0</v>
      </c>
      <c r="X33" s="565">
        <v>0</v>
      </c>
      <c r="Y33" s="565">
        <v>0</v>
      </c>
      <c r="Z33" s="565">
        <v>0</v>
      </c>
      <c r="AA33" s="565">
        <v>0</v>
      </c>
      <c r="AB33" s="565">
        <v>0</v>
      </c>
      <c r="AC33" s="565">
        <v>0</v>
      </c>
      <c r="AD33" s="565">
        <v>0</v>
      </c>
      <c r="AE33" s="565">
        <v>0</v>
      </c>
      <c r="AF33" s="565">
        <v>0</v>
      </c>
      <c r="AG33" s="565">
        <v>0</v>
      </c>
      <c r="AH33" s="565">
        <v>0</v>
      </c>
      <c r="AI33" s="565">
        <v>0</v>
      </c>
      <c r="AJ33" s="565">
        <v>0</v>
      </c>
      <c r="AK33" s="565">
        <v>0</v>
      </c>
      <c r="AL33" s="565">
        <v>0</v>
      </c>
      <c r="AM33" s="565">
        <v>0</v>
      </c>
      <c r="AN33" s="565">
        <v>0</v>
      </c>
      <c r="AO33" s="565">
        <v>0</v>
      </c>
    </row>
    <row r="34" spans="2:41">
      <c r="B34" s="567">
        <v>7</v>
      </c>
      <c r="C34" s="566">
        <v>43043</v>
      </c>
      <c r="D34" s="566">
        <v>43407</v>
      </c>
      <c r="E34" s="565">
        <f>SUM(BB19:BB20,BK9:BK18)</f>
        <v>93542.698981964088</v>
      </c>
      <c r="F34" s="564" t="s">
        <v>611</v>
      </c>
      <c r="G34" s="565">
        <v>0</v>
      </c>
      <c r="H34" s="565">
        <v>894.611844150004</v>
      </c>
      <c r="I34" s="565">
        <v>4531.6510643240181</v>
      </c>
      <c r="J34" s="565">
        <v>45380.917178714619</v>
      </c>
      <c r="K34" s="565">
        <v>46133.39632878788</v>
      </c>
      <c r="L34" s="565">
        <v>63420.708811499921</v>
      </c>
      <c r="M34" s="565">
        <v>93542.698981964088</v>
      </c>
      <c r="N34" s="565">
        <v>92896.327497291088</v>
      </c>
      <c r="O34" s="565">
        <v>98901.29262777121</v>
      </c>
      <c r="P34" s="565">
        <v>127891.99030439749</v>
      </c>
      <c r="Q34" s="565">
        <v>17089.955700061895</v>
      </c>
      <c r="R34" s="565">
        <v>0</v>
      </c>
      <c r="S34" s="565">
        <v>0</v>
      </c>
      <c r="T34" s="565">
        <v>0</v>
      </c>
      <c r="U34" s="565">
        <v>0</v>
      </c>
      <c r="V34" s="565">
        <v>0</v>
      </c>
      <c r="W34" s="565">
        <v>0</v>
      </c>
      <c r="X34" s="565">
        <v>0</v>
      </c>
      <c r="Y34" s="565">
        <v>0</v>
      </c>
      <c r="Z34" s="565">
        <v>0</v>
      </c>
      <c r="AA34" s="565">
        <v>0</v>
      </c>
      <c r="AB34" s="565">
        <v>0</v>
      </c>
      <c r="AC34" s="565">
        <v>0</v>
      </c>
      <c r="AD34" s="565">
        <v>0</v>
      </c>
      <c r="AE34" s="565">
        <v>0</v>
      </c>
      <c r="AF34" s="565">
        <v>0</v>
      </c>
      <c r="AG34" s="565">
        <v>0</v>
      </c>
      <c r="AH34" s="565">
        <v>0</v>
      </c>
      <c r="AI34" s="565">
        <v>0</v>
      </c>
      <c r="AJ34" s="565">
        <v>0</v>
      </c>
      <c r="AK34" s="565">
        <v>0</v>
      </c>
      <c r="AL34" s="565">
        <v>0</v>
      </c>
      <c r="AM34" s="565">
        <v>0</v>
      </c>
      <c r="AN34" s="565">
        <v>0</v>
      </c>
      <c r="AO34" s="565">
        <v>0</v>
      </c>
    </row>
    <row r="35" spans="2:41">
      <c r="B35" s="567">
        <v>8</v>
      </c>
      <c r="C35" s="566">
        <v>43408</v>
      </c>
      <c r="D35" s="566">
        <v>43772</v>
      </c>
      <c r="E35" s="565">
        <f>SUM(BK19:BK20,BT9:BT18)</f>
        <v>92896.327497291088</v>
      </c>
      <c r="F35" s="860" t="s">
        <v>689</v>
      </c>
      <c r="G35" s="565" cm="1">
        <f t="array" ref="G35:AO35">TRANSPOSE(E28:E62)</f>
        <v>0</v>
      </c>
      <c r="H35" s="565">
        <v>894.611844150004</v>
      </c>
      <c r="I35" s="565">
        <v>4531.6510643240181</v>
      </c>
      <c r="J35" s="565">
        <v>45380.917178714619</v>
      </c>
      <c r="K35" s="565">
        <v>46133.39632878788</v>
      </c>
      <c r="L35" s="565">
        <v>63420.708811499921</v>
      </c>
      <c r="M35" s="565">
        <v>93542.698981964088</v>
      </c>
      <c r="N35" s="565">
        <v>92896.327497291088</v>
      </c>
      <c r="O35" s="565">
        <v>98901.29262777121</v>
      </c>
      <c r="P35" s="565">
        <v>127891.99030439749</v>
      </c>
      <c r="Q35" s="565">
        <v>134462.04823945771</v>
      </c>
      <c r="R35" s="565">
        <v>143545.88999685427</v>
      </c>
      <c r="S35" s="565">
        <v>112496.52605831587</v>
      </c>
      <c r="T35" s="565">
        <v>0</v>
      </c>
      <c r="U35" s="565">
        <v>0</v>
      </c>
      <c r="V35" s="565">
        <v>0</v>
      </c>
      <c r="W35" s="565">
        <v>0</v>
      </c>
      <c r="X35" s="565">
        <v>0</v>
      </c>
      <c r="Y35" s="565">
        <v>0</v>
      </c>
      <c r="Z35" s="565">
        <v>0</v>
      </c>
      <c r="AA35" s="565">
        <v>0</v>
      </c>
      <c r="AB35" s="565">
        <v>0</v>
      </c>
      <c r="AC35" s="565">
        <v>0</v>
      </c>
      <c r="AD35" s="565">
        <v>0</v>
      </c>
      <c r="AE35" s="565">
        <v>0</v>
      </c>
      <c r="AF35" s="565">
        <v>0</v>
      </c>
      <c r="AG35" s="565">
        <v>0</v>
      </c>
      <c r="AH35" s="565">
        <v>0</v>
      </c>
      <c r="AI35" s="565">
        <v>0</v>
      </c>
      <c r="AJ35" s="565">
        <v>0</v>
      </c>
      <c r="AK35" s="565">
        <v>0</v>
      </c>
      <c r="AL35" s="565">
        <v>0</v>
      </c>
      <c r="AM35" s="565">
        <v>0</v>
      </c>
      <c r="AN35" s="565">
        <v>0</v>
      </c>
      <c r="AO35" s="565">
        <v>0</v>
      </c>
    </row>
    <row r="36" spans="2:41">
      <c r="B36" s="567">
        <v>9</v>
      </c>
      <c r="C36" s="566">
        <v>43773</v>
      </c>
      <c r="D36" s="566">
        <v>44138</v>
      </c>
      <c r="E36" s="565">
        <f>SUM(BT19:BT20,CC9:CC18)</f>
        <v>98901.29262777121</v>
      </c>
      <c r="F36" s="564"/>
      <c r="G36" s="564"/>
      <c r="M36" s="564"/>
      <c r="N36" s="564"/>
      <c r="O36" s="564"/>
      <c r="P36" s="564"/>
    </row>
    <row r="37" spans="2:41">
      <c r="B37" s="567">
        <v>10</v>
      </c>
      <c r="C37" s="566">
        <v>44139</v>
      </c>
      <c r="D37" s="566">
        <v>44503</v>
      </c>
      <c r="E37" s="565">
        <f>SUM(CC19:CC20,CL9:CL18)</f>
        <v>127891.99030439749</v>
      </c>
      <c r="F37" s="564"/>
      <c r="G37" s="569" t="s">
        <v>488</v>
      </c>
    </row>
    <row r="38" spans="2:41">
      <c r="B38" s="567">
        <v>11</v>
      </c>
      <c r="C38" s="566">
        <v>44504</v>
      </c>
      <c r="D38" s="566">
        <v>44868</v>
      </c>
      <c r="E38" s="565">
        <f>SUM(CL19:CL20,CU9:CU18)</f>
        <v>134462.04823945771</v>
      </c>
      <c r="F38" s="564"/>
      <c r="G38" s="568" t="s">
        <v>489</v>
      </c>
    </row>
    <row r="39" spans="2:41">
      <c r="B39" s="567">
        <v>12</v>
      </c>
      <c r="C39" s="566">
        <v>44869</v>
      </c>
      <c r="D39" s="566">
        <v>45233</v>
      </c>
      <c r="E39" s="565">
        <f>SUM(CU19:CU20,DD9:DD18)</f>
        <v>143545.88999685427</v>
      </c>
      <c r="F39" s="564"/>
      <c r="G39" s="564"/>
      <c r="O39" s="564"/>
    </row>
    <row r="40" spans="2:41">
      <c r="B40" s="567">
        <v>13</v>
      </c>
      <c r="C40" s="566">
        <v>45234</v>
      </c>
      <c r="D40" s="566">
        <v>45599</v>
      </c>
      <c r="E40" s="565">
        <f>SUM(DD19:DD20,DM9:DM18)</f>
        <v>112496.52605831587</v>
      </c>
      <c r="F40" s="564"/>
      <c r="G40" s="564"/>
    </row>
    <row r="41" spans="2:41">
      <c r="B41" s="567">
        <v>14</v>
      </c>
      <c r="C41" s="566">
        <v>45600</v>
      </c>
      <c r="D41" s="566">
        <v>45964</v>
      </c>
      <c r="E41" s="565">
        <v>0</v>
      </c>
      <c r="F41" s="564"/>
      <c r="G41" s="564"/>
    </row>
    <row r="42" spans="2:41">
      <c r="B42" s="567">
        <v>15</v>
      </c>
      <c r="C42" s="566">
        <v>45965</v>
      </c>
      <c r="D42" s="566">
        <v>46329</v>
      </c>
      <c r="E42" s="565">
        <v>0</v>
      </c>
      <c r="F42" s="564"/>
      <c r="G42" s="564"/>
    </row>
    <row r="43" spans="2:41">
      <c r="B43" s="567">
        <v>16</v>
      </c>
      <c r="C43" s="566">
        <v>46330</v>
      </c>
      <c r="D43" s="566">
        <v>46694</v>
      </c>
      <c r="E43" s="565">
        <v>0</v>
      </c>
      <c r="F43" s="564"/>
      <c r="G43" s="564"/>
    </row>
    <row r="44" spans="2:41">
      <c r="B44" s="567">
        <v>17</v>
      </c>
      <c r="C44" s="566">
        <v>46695</v>
      </c>
      <c r="D44" s="566">
        <v>47060</v>
      </c>
      <c r="E44" s="565">
        <v>0</v>
      </c>
      <c r="F44" s="564"/>
      <c r="G44" s="564"/>
    </row>
    <row r="45" spans="2:41">
      <c r="B45" s="567">
        <v>18</v>
      </c>
      <c r="C45" s="566">
        <v>47061</v>
      </c>
      <c r="D45" s="566">
        <v>47425</v>
      </c>
      <c r="E45" s="565">
        <v>0</v>
      </c>
      <c r="F45" s="564"/>
      <c r="G45" s="564"/>
    </row>
    <row r="46" spans="2:41">
      <c r="B46" s="567">
        <v>19</v>
      </c>
      <c r="C46" s="566">
        <v>47426</v>
      </c>
      <c r="D46" s="566">
        <v>47790</v>
      </c>
      <c r="E46" s="565">
        <v>0</v>
      </c>
      <c r="F46" s="564"/>
      <c r="G46" s="564"/>
    </row>
    <row r="47" spans="2:41">
      <c r="B47" s="567">
        <v>20</v>
      </c>
      <c r="C47" s="566">
        <v>47791</v>
      </c>
      <c r="D47" s="566">
        <v>48155</v>
      </c>
      <c r="E47" s="565">
        <v>0</v>
      </c>
      <c r="F47" s="564"/>
      <c r="G47" s="564"/>
    </row>
    <row r="48" spans="2:41">
      <c r="B48" s="567">
        <v>21</v>
      </c>
      <c r="C48" s="566">
        <v>48156</v>
      </c>
      <c r="D48" s="566">
        <v>48521</v>
      </c>
      <c r="E48" s="565">
        <v>0</v>
      </c>
      <c r="F48" s="564"/>
      <c r="G48" s="564"/>
    </row>
    <row r="49" spans="2:7">
      <c r="B49" s="567">
        <v>22</v>
      </c>
      <c r="C49" s="566">
        <v>48522</v>
      </c>
      <c r="D49" s="566">
        <v>48886</v>
      </c>
      <c r="E49" s="565">
        <v>0</v>
      </c>
      <c r="F49" s="564"/>
      <c r="G49" s="564"/>
    </row>
    <row r="50" spans="2:7">
      <c r="B50" s="567">
        <v>23</v>
      </c>
      <c r="C50" s="566">
        <v>48887</v>
      </c>
      <c r="D50" s="566">
        <v>49251</v>
      </c>
      <c r="E50" s="565">
        <v>0</v>
      </c>
      <c r="F50" s="564"/>
      <c r="G50" s="564"/>
    </row>
    <row r="51" spans="2:7">
      <c r="B51" s="567">
        <v>24</v>
      </c>
      <c r="C51" s="566">
        <v>49252</v>
      </c>
      <c r="D51" s="566">
        <v>49616</v>
      </c>
      <c r="E51" s="565">
        <v>0</v>
      </c>
      <c r="F51" s="564"/>
      <c r="G51" s="564"/>
    </row>
    <row r="52" spans="2:7">
      <c r="B52" s="567">
        <v>25</v>
      </c>
      <c r="C52" s="566">
        <v>49617</v>
      </c>
      <c r="D52" s="566">
        <v>49982</v>
      </c>
      <c r="E52" s="565">
        <v>0</v>
      </c>
      <c r="F52" s="564"/>
      <c r="G52" s="564"/>
    </row>
    <row r="53" spans="2:7">
      <c r="B53" s="567">
        <v>26</v>
      </c>
      <c r="C53" s="566">
        <v>49983</v>
      </c>
      <c r="D53" s="566">
        <v>50347</v>
      </c>
      <c r="E53" s="565">
        <v>0</v>
      </c>
      <c r="F53" s="564"/>
      <c r="G53" s="564"/>
    </row>
    <row r="54" spans="2:7">
      <c r="B54" s="567">
        <v>27</v>
      </c>
      <c r="C54" s="566">
        <v>50348</v>
      </c>
      <c r="D54" s="566">
        <v>50712</v>
      </c>
      <c r="E54" s="565">
        <v>0</v>
      </c>
      <c r="F54" s="564"/>
      <c r="G54" s="564"/>
    </row>
    <row r="55" spans="2:7">
      <c r="B55" s="567">
        <v>28</v>
      </c>
      <c r="C55" s="566">
        <v>50713</v>
      </c>
      <c r="D55" s="566">
        <v>51077</v>
      </c>
      <c r="E55" s="565">
        <v>0</v>
      </c>
      <c r="F55" s="564"/>
      <c r="G55" s="564"/>
    </row>
    <row r="56" spans="2:7">
      <c r="B56" s="567">
        <v>29</v>
      </c>
      <c r="C56" s="566">
        <v>51078</v>
      </c>
      <c r="D56" s="566">
        <v>51443</v>
      </c>
      <c r="E56" s="565">
        <v>0</v>
      </c>
      <c r="F56" s="564"/>
      <c r="G56" s="564"/>
    </row>
    <row r="57" spans="2:7">
      <c r="B57" s="567">
        <v>30</v>
      </c>
      <c r="C57" s="566">
        <v>51444</v>
      </c>
      <c r="D57" s="566">
        <v>51808</v>
      </c>
      <c r="E57" s="565">
        <v>0</v>
      </c>
      <c r="F57" s="564"/>
      <c r="G57" s="564"/>
    </row>
    <row r="58" spans="2:7">
      <c r="B58" s="567">
        <v>31</v>
      </c>
      <c r="C58" s="566">
        <v>51809</v>
      </c>
      <c r="D58" s="566">
        <v>52173</v>
      </c>
      <c r="E58" s="565">
        <v>0</v>
      </c>
      <c r="F58" s="564"/>
      <c r="G58" s="564"/>
    </row>
    <row r="59" spans="2:7">
      <c r="B59" s="567">
        <v>32</v>
      </c>
      <c r="C59" s="566">
        <v>52174</v>
      </c>
      <c r="D59" s="566">
        <v>52538</v>
      </c>
      <c r="E59" s="565">
        <v>0</v>
      </c>
      <c r="F59" s="564"/>
      <c r="G59" s="564"/>
    </row>
    <row r="60" spans="2:7">
      <c r="B60" s="567">
        <v>33</v>
      </c>
      <c r="C60" s="566">
        <v>52539</v>
      </c>
      <c r="D60" s="566">
        <v>52904</v>
      </c>
      <c r="E60" s="565">
        <v>0</v>
      </c>
      <c r="F60" s="564"/>
      <c r="G60" s="564"/>
    </row>
    <row r="61" spans="2:7">
      <c r="B61" s="567">
        <v>34</v>
      </c>
      <c r="C61" s="566">
        <v>52905</v>
      </c>
      <c r="D61" s="566">
        <v>53269</v>
      </c>
      <c r="E61" s="565">
        <v>0</v>
      </c>
      <c r="F61" s="564"/>
      <c r="G61" s="564"/>
    </row>
    <row r="62" spans="2:7">
      <c r="B62" s="567">
        <v>35</v>
      </c>
      <c r="C62" s="566">
        <v>53270</v>
      </c>
      <c r="D62" s="566">
        <v>53634</v>
      </c>
      <c r="E62" s="565">
        <v>0</v>
      </c>
      <c r="F62" s="564"/>
      <c r="G62" s="564"/>
    </row>
    <row r="63" spans="2:7">
      <c r="G63" s="564"/>
    </row>
    <row r="348" spans="6:6">
      <c r="F348" s="563" t="e">
        <v>#REF!</v>
      </c>
    </row>
    <row r="349" spans="6:6">
      <c r="F349" s="563" t="e">
        <v>#REF!</v>
      </c>
    </row>
    <row r="350" spans="6:6">
      <c r="F350" s="563" t="e">
        <v>#REF!</v>
      </c>
    </row>
    <row r="351" spans="6:6">
      <c r="F351" s="563" t="e">
        <v>#REF!</v>
      </c>
    </row>
    <row r="352" spans="6:6">
      <c r="F352" s="563" t="e">
        <v>#REF!</v>
      </c>
    </row>
    <row r="353" spans="6:6">
      <c r="F353" s="563" t="e">
        <v>#REF!</v>
      </c>
    </row>
    <row r="354" spans="6:6">
      <c r="F354" s="563" t="e">
        <v>#REF!</v>
      </c>
    </row>
    <row r="355" spans="6:6">
      <c r="F355" s="563" t="e">
        <v>#REF!</v>
      </c>
    </row>
    <row r="356" spans="6:6">
      <c r="F356" s="563" t="e">
        <v>#REF!</v>
      </c>
    </row>
    <row r="357" spans="6:6">
      <c r="F357" s="563" t="e">
        <v>#REF!</v>
      </c>
    </row>
    <row r="358" spans="6:6">
      <c r="F358" s="563" t="e">
        <v>#REF!</v>
      </c>
    </row>
    <row r="359" spans="6:6">
      <c r="F359" s="563" t="e">
        <v>#REF!</v>
      </c>
    </row>
  </sheetData>
  <mergeCells count="143">
    <mergeCell ref="B6:I6"/>
    <mergeCell ref="K6:R6"/>
    <mergeCell ref="T6:AA6"/>
    <mergeCell ref="AC6:AJ6"/>
    <mergeCell ref="AL6:AS6"/>
    <mergeCell ref="AU6:BB6"/>
    <mergeCell ref="BD6:BK6"/>
    <mergeCell ref="BM6:BT6"/>
    <mergeCell ref="BV6:CC6"/>
    <mergeCell ref="CE6:CL6"/>
    <mergeCell ref="CN6:CU6"/>
    <mergeCell ref="CW6:DD6"/>
    <mergeCell ref="DF6:DM6"/>
    <mergeCell ref="DO6:DV6"/>
    <mergeCell ref="DX6:EE6"/>
    <mergeCell ref="EG6:EN6"/>
    <mergeCell ref="EP6:EW6"/>
    <mergeCell ref="EY6:FF6"/>
    <mergeCell ref="FH6:FO6"/>
    <mergeCell ref="FQ6:FX6"/>
    <mergeCell ref="FZ6:GG6"/>
    <mergeCell ref="GI6:GP6"/>
    <mergeCell ref="GR6:GY6"/>
    <mergeCell ref="HA6:HH6"/>
    <mergeCell ref="HJ6:HQ6"/>
    <mergeCell ref="HS6:HZ6"/>
    <mergeCell ref="IB6:II6"/>
    <mergeCell ref="IK6:IR6"/>
    <mergeCell ref="IT6:JA6"/>
    <mergeCell ref="JC6:JJ6"/>
    <mergeCell ref="JL6:JS6"/>
    <mergeCell ref="JU6:KB6"/>
    <mergeCell ref="KD6:KK6"/>
    <mergeCell ref="KM6:KT6"/>
    <mergeCell ref="KV6:LC6"/>
    <mergeCell ref="C7:E7"/>
    <mergeCell ref="F7:F8"/>
    <mergeCell ref="H7:I7"/>
    <mergeCell ref="L7:N7"/>
    <mergeCell ref="O7:O8"/>
    <mergeCell ref="Q7:R7"/>
    <mergeCell ref="U7:W7"/>
    <mergeCell ref="X7:X8"/>
    <mergeCell ref="Z7:AA7"/>
    <mergeCell ref="AD7:AF7"/>
    <mergeCell ref="AG7:AG8"/>
    <mergeCell ref="AI7:AJ7"/>
    <mergeCell ref="AM7:AO7"/>
    <mergeCell ref="AP7:AP8"/>
    <mergeCell ref="AR7:AS7"/>
    <mergeCell ref="AV7:AX7"/>
    <mergeCell ref="AY7:AY8"/>
    <mergeCell ref="BA7:BB7"/>
    <mergeCell ref="BE7:BG7"/>
    <mergeCell ref="BH7:BH8"/>
    <mergeCell ref="BJ7:BK7"/>
    <mergeCell ref="BN7:BP7"/>
    <mergeCell ref="BQ7:BQ8"/>
    <mergeCell ref="BS7:BT7"/>
    <mergeCell ref="BW7:BY7"/>
    <mergeCell ref="BZ7:BZ8"/>
    <mergeCell ref="CB7:CC7"/>
    <mergeCell ref="CF7:CH7"/>
    <mergeCell ref="CI7:CI8"/>
    <mergeCell ref="CK7:CL7"/>
    <mergeCell ref="CO7:CQ7"/>
    <mergeCell ref="CR7:CR8"/>
    <mergeCell ref="CT7:CU7"/>
    <mergeCell ref="CX7:CZ7"/>
    <mergeCell ref="DA7:DA8"/>
    <mergeCell ref="DC7:DD7"/>
    <mergeCell ref="DG7:DI7"/>
    <mergeCell ref="DJ7:DJ8"/>
    <mergeCell ref="DL7:DM7"/>
    <mergeCell ref="DP7:DR7"/>
    <mergeCell ref="DS7:DS8"/>
    <mergeCell ref="DU7:DV7"/>
    <mergeCell ref="DY7:EA7"/>
    <mergeCell ref="EB7:EB8"/>
    <mergeCell ref="ED7:EE7"/>
    <mergeCell ref="EH7:EJ7"/>
    <mergeCell ref="EK7:EK8"/>
    <mergeCell ref="EM7:EN7"/>
    <mergeCell ref="EQ7:ES7"/>
    <mergeCell ref="ET7:ET8"/>
    <mergeCell ref="EV7:EW7"/>
    <mergeCell ref="EZ7:FB7"/>
    <mergeCell ref="FC7:FC8"/>
    <mergeCell ref="FE7:FF7"/>
    <mergeCell ref="FI7:FK7"/>
    <mergeCell ref="FL7:FL8"/>
    <mergeCell ref="FN7:FO7"/>
    <mergeCell ref="FR7:FT7"/>
    <mergeCell ref="FU7:FU8"/>
    <mergeCell ref="FW7:FX7"/>
    <mergeCell ref="GA7:GC7"/>
    <mergeCell ref="GD7:GD8"/>
    <mergeCell ref="GF7:GG7"/>
    <mergeCell ref="GJ7:GL7"/>
    <mergeCell ref="GM7:GM8"/>
    <mergeCell ref="GO7:GP7"/>
    <mergeCell ref="GS7:GU7"/>
    <mergeCell ref="GV7:GV8"/>
    <mergeCell ref="GX7:GY7"/>
    <mergeCell ref="HB7:HD7"/>
    <mergeCell ref="IQ7:IR7"/>
    <mergeCell ref="IU7:IW7"/>
    <mergeCell ref="IX7:IX8"/>
    <mergeCell ref="IZ7:JA7"/>
    <mergeCell ref="JD7:JF7"/>
    <mergeCell ref="HE7:HE8"/>
    <mergeCell ref="HG7:HH7"/>
    <mergeCell ref="HK7:HM7"/>
    <mergeCell ref="HN7:HN8"/>
    <mergeCell ref="HP7:HQ7"/>
    <mergeCell ref="HT7:HV7"/>
    <mergeCell ref="HW7:HW8"/>
    <mergeCell ref="HY7:HZ7"/>
    <mergeCell ref="IC7:IE7"/>
    <mergeCell ref="KS7:KT7"/>
    <mergeCell ref="KW7:KY7"/>
    <mergeCell ref="KZ7:KZ8"/>
    <mergeCell ref="LB7:LC7"/>
    <mergeCell ref="B26:B27"/>
    <mergeCell ref="C26:D26"/>
    <mergeCell ref="E26:E27"/>
    <mergeCell ref="KA7:KB7"/>
    <mergeCell ref="KE7:KG7"/>
    <mergeCell ref="KH7:KH8"/>
    <mergeCell ref="JG7:JG8"/>
    <mergeCell ref="KJ7:KK7"/>
    <mergeCell ref="KN7:KP7"/>
    <mergeCell ref="KQ7:KQ8"/>
    <mergeCell ref="JI7:JJ7"/>
    <mergeCell ref="JM7:JO7"/>
    <mergeCell ref="JP7:JP8"/>
    <mergeCell ref="JR7:JS7"/>
    <mergeCell ref="JV7:JX7"/>
    <mergeCell ref="JY7:JY8"/>
    <mergeCell ref="IF7:IF8"/>
    <mergeCell ref="IH7:II7"/>
    <mergeCell ref="IL7:IN7"/>
    <mergeCell ref="IO7:IO8"/>
  </mergeCells>
  <pageMargins left="0.511811024" right="0.511811024" top="0.78740157499999996" bottom="0.78740157499999996" header="0.31496062000000002" footer="0.31496062000000002"/>
  <pageSetup paperSize="9" orientation="portrait" r:id="rId1"/>
  <ignoredErrors>
    <ignoredError sqref="E30:E35 E41:E62" formulaRange="1"/>
  </ignoredError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Planilha26">
    <tabColor rgb="FF00B050"/>
  </sheetPr>
  <dimension ref="B1:AV67"/>
  <sheetViews>
    <sheetView showGridLines="0" zoomScale="90" zoomScaleNormal="90" workbookViewId="0">
      <pane xSplit="5" ySplit="5" topLeftCell="AH29" activePane="bottomRight" state="frozen"/>
      <selection pane="topRight" activeCell="F1" sqref="F1"/>
      <selection pane="bottomLeft" activeCell="A6" sqref="A6"/>
      <selection pane="bottomRight" activeCell="E24" sqref="E24"/>
    </sheetView>
  </sheetViews>
  <sheetFormatPr defaultColWidth="9.140625" defaultRowHeight="12.75"/>
  <cols>
    <col min="1" max="1" width="6" style="633" customWidth="1"/>
    <col min="2" max="2" width="30.42578125" style="633" customWidth="1"/>
    <col min="3" max="3" width="12.140625" style="633" customWidth="1"/>
    <col min="4" max="4" width="16.7109375" style="633" customWidth="1"/>
    <col min="5" max="5" width="15.140625" style="633" customWidth="1"/>
    <col min="6" max="11" width="12.42578125" style="633" customWidth="1"/>
    <col min="12" max="26" width="13" style="633" customWidth="1"/>
    <col min="27" max="29" width="11" style="633" bestFit="1" customWidth="1"/>
    <col min="30" max="35" width="9.140625" style="633"/>
    <col min="36" max="37" width="10" style="633" bestFit="1" customWidth="1"/>
    <col min="38" max="39" width="9.140625" style="633"/>
    <col min="40" max="43" width="12.28515625" style="633" customWidth="1"/>
    <col min="44" max="16384" width="9.140625" style="633"/>
  </cols>
  <sheetData>
    <row r="1" spans="2:48">
      <c r="F1" s="634">
        <v>2018</v>
      </c>
      <c r="G1" s="634"/>
      <c r="H1" s="634"/>
      <c r="I1" s="634"/>
      <c r="J1" s="634"/>
      <c r="K1" s="634"/>
      <c r="L1" s="635">
        <v>2019</v>
      </c>
      <c r="M1" s="636"/>
      <c r="N1" s="636"/>
      <c r="O1" s="636"/>
      <c r="P1" s="636"/>
      <c r="Q1" s="636"/>
      <c r="R1" s="636"/>
      <c r="S1" s="636"/>
      <c r="T1" s="636"/>
      <c r="U1" s="636"/>
      <c r="V1" s="636"/>
      <c r="W1" s="636"/>
      <c r="X1" s="733">
        <v>2020</v>
      </c>
      <c r="Y1" s="734"/>
      <c r="Z1" s="734"/>
      <c r="AA1" s="735"/>
      <c r="AB1" s="735"/>
      <c r="AC1" s="735"/>
      <c r="AD1" s="735"/>
      <c r="AE1" s="735"/>
      <c r="AF1" s="735"/>
      <c r="AG1" s="735"/>
      <c r="AH1" s="735"/>
      <c r="AI1" s="735"/>
      <c r="AJ1" s="735">
        <v>2021</v>
      </c>
      <c r="AK1" s="735"/>
      <c r="AL1" s="735"/>
      <c r="AM1" s="735"/>
      <c r="AN1" s="735"/>
      <c r="AO1" s="735"/>
      <c r="AP1" s="735"/>
      <c r="AQ1" s="735"/>
      <c r="AR1" s="735"/>
      <c r="AS1" s="735"/>
      <c r="AT1" s="735">
        <v>2022</v>
      </c>
      <c r="AU1" s="735"/>
      <c r="AV1" s="735"/>
    </row>
    <row r="2" spans="2:48">
      <c r="F2" s="705" t="s">
        <v>668</v>
      </c>
      <c r="G2" s="705"/>
      <c r="H2" s="705"/>
      <c r="I2" s="705"/>
      <c r="J2" s="706" t="s">
        <v>669</v>
      </c>
      <c r="K2" s="709"/>
      <c r="L2" s="706"/>
      <c r="M2" s="707"/>
      <c r="N2" s="707"/>
      <c r="O2" s="707"/>
      <c r="P2" s="707"/>
      <c r="Q2" s="707"/>
      <c r="R2" s="707"/>
      <c r="S2" s="707"/>
      <c r="T2" s="707"/>
      <c r="U2" s="707"/>
      <c r="V2" s="710" t="s">
        <v>648</v>
      </c>
      <c r="W2" s="711"/>
      <c r="X2" s="712"/>
      <c r="Y2" s="713"/>
      <c r="Z2" s="713"/>
      <c r="AA2" s="714"/>
      <c r="AB2" s="714"/>
      <c r="AC2" s="714"/>
      <c r="AD2" s="714"/>
      <c r="AE2" s="714"/>
      <c r="AF2" s="714"/>
      <c r="AG2" s="714"/>
      <c r="AH2" s="779" t="s">
        <v>675</v>
      </c>
      <c r="AI2" s="780"/>
      <c r="AJ2" s="780"/>
      <c r="AK2" s="780"/>
      <c r="AL2" s="780"/>
      <c r="AM2" s="780"/>
      <c r="AN2" s="780"/>
      <c r="AO2" s="780"/>
      <c r="AP2" s="780"/>
      <c r="AQ2" s="780"/>
      <c r="AR2" s="780"/>
      <c r="AS2" s="780"/>
      <c r="AT2" s="781"/>
      <c r="AU2" s="781"/>
      <c r="AV2" s="781"/>
    </row>
    <row r="3" spans="2:48" ht="13.5" thickBot="1">
      <c r="F3" s="708">
        <v>7</v>
      </c>
      <c r="G3" s="708">
        <v>7</v>
      </c>
      <c r="H3" s="708">
        <v>7</v>
      </c>
      <c r="I3" s="708">
        <v>7</v>
      </c>
      <c r="J3" s="708">
        <v>8</v>
      </c>
      <c r="K3" s="708">
        <v>8</v>
      </c>
      <c r="L3" s="708">
        <v>8</v>
      </c>
      <c r="M3" s="708">
        <v>8</v>
      </c>
      <c r="N3" s="708">
        <v>8</v>
      </c>
      <c r="O3" s="708">
        <v>8</v>
      </c>
      <c r="P3" s="708">
        <v>8</v>
      </c>
      <c r="Q3" s="708">
        <v>8</v>
      </c>
      <c r="R3" s="708">
        <v>8</v>
      </c>
      <c r="S3" s="708">
        <v>8</v>
      </c>
      <c r="T3" s="708">
        <v>8</v>
      </c>
      <c r="U3" s="708">
        <v>8</v>
      </c>
      <c r="V3" s="708">
        <v>9</v>
      </c>
      <c r="W3" s="708">
        <v>9</v>
      </c>
      <c r="X3" s="708">
        <v>9</v>
      </c>
      <c r="Y3" s="708">
        <v>9</v>
      </c>
      <c r="Z3" s="708">
        <v>9</v>
      </c>
      <c r="AA3" s="708">
        <v>9</v>
      </c>
      <c r="AB3" s="708">
        <v>9</v>
      </c>
      <c r="AC3" s="708">
        <v>9</v>
      </c>
      <c r="AD3" s="708">
        <v>9</v>
      </c>
      <c r="AE3" s="708">
        <v>9</v>
      </c>
      <c r="AF3" s="708">
        <v>9</v>
      </c>
      <c r="AG3" s="708">
        <v>9</v>
      </c>
      <c r="AH3" s="708">
        <v>10</v>
      </c>
      <c r="AI3" s="708">
        <v>10</v>
      </c>
      <c r="AJ3" s="708">
        <v>10</v>
      </c>
      <c r="AK3" s="708">
        <v>10</v>
      </c>
      <c r="AL3" s="708">
        <v>10</v>
      </c>
      <c r="AM3" s="708">
        <v>10</v>
      </c>
      <c r="AN3" s="708">
        <v>10</v>
      </c>
      <c r="AO3" s="708">
        <v>10</v>
      </c>
      <c r="AP3" s="708">
        <v>10</v>
      </c>
      <c r="AQ3" s="708">
        <v>10</v>
      </c>
      <c r="AR3" s="708">
        <v>10</v>
      </c>
      <c r="AS3" s="708">
        <v>10</v>
      </c>
      <c r="AT3" s="708">
        <v>11</v>
      </c>
      <c r="AU3" s="708">
        <v>11</v>
      </c>
    </row>
    <row r="4" spans="2:48">
      <c r="B4" s="637"/>
      <c r="C4" s="638" t="s">
        <v>613</v>
      </c>
      <c r="D4" s="638" t="s">
        <v>614</v>
      </c>
      <c r="E4" s="638" t="s">
        <v>615</v>
      </c>
      <c r="F4" s="638" t="s">
        <v>616</v>
      </c>
      <c r="G4" s="638" t="s">
        <v>617</v>
      </c>
      <c r="H4" s="638" t="s">
        <v>618</v>
      </c>
      <c r="I4" s="638" t="s">
        <v>619</v>
      </c>
      <c r="J4" s="638" t="s">
        <v>620</v>
      </c>
      <c r="K4" s="639" t="s">
        <v>621</v>
      </c>
      <c r="L4" s="640" t="s">
        <v>622</v>
      </c>
      <c r="M4" s="640" t="s">
        <v>623</v>
      </c>
      <c r="N4" s="640" t="s">
        <v>624</v>
      </c>
      <c r="O4" s="640" t="s">
        <v>625</v>
      </c>
      <c r="P4" s="640" t="s">
        <v>613</v>
      </c>
      <c r="Q4" s="640" t="s">
        <v>614</v>
      </c>
      <c r="R4" s="640" t="s">
        <v>615</v>
      </c>
      <c r="S4" s="640" t="s">
        <v>617</v>
      </c>
      <c r="T4" s="640" t="s">
        <v>618</v>
      </c>
      <c r="U4" s="640" t="s">
        <v>619</v>
      </c>
      <c r="V4" s="715" t="s">
        <v>620</v>
      </c>
      <c r="W4" s="715" t="s">
        <v>621</v>
      </c>
      <c r="X4" s="716" t="s">
        <v>622</v>
      </c>
      <c r="Y4" s="716" t="s">
        <v>623</v>
      </c>
      <c r="Z4" s="716" t="s">
        <v>624</v>
      </c>
      <c r="AA4" s="716" t="s">
        <v>625</v>
      </c>
      <c r="AB4" s="716" t="s">
        <v>613</v>
      </c>
      <c r="AC4" s="716" t="s">
        <v>614</v>
      </c>
      <c r="AD4" s="716" t="s">
        <v>615</v>
      </c>
      <c r="AE4" s="716" t="s">
        <v>617</v>
      </c>
      <c r="AF4" s="716" t="s">
        <v>618</v>
      </c>
      <c r="AG4" s="716" t="s">
        <v>619</v>
      </c>
      <c r="AH4" s="716" t="s">
        <v>620</v>
      </c>
      <c r="AI4" s="716" t="s">
        <v>621</v>
      </c>
      <c r="AJ4" s="716" t="s">
        <v>622</v>
      </c>
      <c r="AK4" s="716" t="s">
        <v>623</v>
      </c>
      <c r="AL4" s="716" t="s">
        <v>624</v>
      </c>
      <c r="AM4" s="716" t="s">
        <v>625</v>
      </c>
      <c r="AN4" s="716" t="s">
        <v>613</v>
      </c>
      <c r="AO4" s="716" t="s">
        <v>614</v>
      </c>
      <c r="AP4" s="716" t="s">
        <v>615</v>
      </c>
      <c r="AQ4" s="716" t="s">
        <v>617</v>
      </c>
      <c r="AR4" s="716" t="s">
        <v>618</v>
      </c>
      <c r="AS4" s="716" t="s">
        <v>619</v>
      </c>
      <c r="AT4" s="716" t="s">
        <v>620</v>
      </c>
      <c r="AU4" s="716" t="s">
        <v>621</v>
      </c>
      <c r="AV4" s="717" t="s">
        <v>626</v>
      </c>
    </row>
    <row r="5" spans="2:48">
      <c r="B5" s="641" t="s">
        <v>627</v>
      </c>
      <c r="C5" s="642"/>
      <c r="D5" s="642"/>
      <c r="E5" s="642"/>
      <c r="F5" s="642"/>
      <c r="G5" s="642"/>
      <c r="H5" s="642"/>
      <c r="I5" s="642"/>
      <c r="J5" s="642"/>
      <c r="K5" s="642"/>
      <c r="L5" s="642"/>
      <c r="M5" s="642"/>
      <c r="N5" s="642"/>
      <c r="O5" s="642"/>
      <c r="P5" s="642"/>
      <c r="Q5" s="642"/>
      <c r="R5" s="642"/>
      <c r="S5" s="642"/>
      <c r="T5" s="642"/>
      <c r="U5" s="642"/>
      <c r="V5" s="719"/>
      <c r="W5" s="719"/>
      <c r="X5" s="719"/>
      <c r="Y5" s="719"/>
      <c r="Z5" s="719"/>
      <c r="AA5" s="719"/>
      <c r="AB5" s="719"/>
      <c r="AC5" s="719"/>
      <c r="AD5" s="719"/>
      <c r="AE5" s="719"/>
      <c r="AF5" s="719"/>
      <c r="AG5" s="719"/>
      <c r="AH5" s="719"/>
      <c r="AI5" s="719"/>
      <c r="AJ5" s="719"/>
      <c r="AK5" s="719"/>
      <c r="AL5" s="719"/>
      <c r="AM5" s="719"/>
      <c r="AN5" s="719"/>
      <c r="AO5" s="719"/>
      <c r="AP5" s="719"/>
      <c r="AQ5" s="719"/>
      <c r="AR5" s="719"/>
      <c r="AS5" s="719"/>
      <c r="AT5" s="719"/>
      <c r="AU5" s="719"/>
      <c r="AV5" s="719"/>
    </row>
    <row r="6" spans="2:48">
      <c r="B6" s="643" t="s">
        <v>628</v>
      </c>
      <c r="C6" s="644">
        <v>439916.49999999994</v>
      </c>
      <c r="D6" s="644">
        <v>516232.49315068492</v>
      </c>
      <c r="E6" s="644">
        <v>584128.5</v>
      </c>
      <c r="F6" s="644">
        <f>SUM(C6:E6)</f>
        <v>1540277.493150685</v>
      </c>
      <c r="G6" s="644">
        <v>595560</v>
      </c>
      <c r="H6" s="644">
        <v>609777.5</v>
      </c>
      <c r="I6" s="644">
        <v>627318.5</v>
      </c>
      <c r="J6" s="644">
        <v>625449.5</v>
      </c>
      <c r="K6" s="644">
        <v>633760</v>
      </c>
      <c r="L6" s="645">
        <v>735555.5</v>
      </c>
      <c r="M6" s="645">
        <v>544769</v>
      </c>
      <c r="N6" s="645">
        <v>602563.5</v>
      </c>
      <c r="O6" s="645">
        <v>558720.5</v>
      </c>
      <c r="P6" s="645">
        <v>542283.5</v>
      </c>
      <c r="Q6" s="645">
        <v>501093</v>
      </c>
      <c r="R6" s="645">
        <v>578146.5</v>
      </c>
      <c r="S6" s="645">
        <v>559211</v>
      </c>
      <c r="T6" s="645">
        <v>577346.5</v>
      </c>
      <c r="U6" s="645">
        <v>627673</v>
      </c>
      <c r="V6" s="720">
        <v>609300</v>
      </c>
      <c r="W6" s="720">
        <v>662242</v>
      </c>
      <c r="X6" s="720">
        <v>766036</v>
      </c>
      <c r="Y6" s="720">
        <v>606689</v>
      </c>
      <c r="Z6" s="720">
        <v>520932</v>
      </c>
      <c r="AA6" s="720">
        <v>362109.5</v>
      </c>
      <c r="AB6" s="720">
        <v>369881</v>
      </c>
      <c r="AC6" s="720">
        <v>444921.5</v>
      </c>
      <c r="AD6" s="720">
        <v>544752.5</v>
      </c>
      <c r="AE6" s="720">
        <v>583838</v>
      </c>
      <c r="AF6" s="720">
        <v>646151.5</v>
      </c>
      <c r="AG6" s="720">
        <v>709941</v>
      </c>
      <c r="AH6" s="720">
        <v>675346</v>
      </c>
      <c r="AI6" s="720">
        <v>734000</v>
      </c>
      <c r="AJ6" s="720">
        <v>764607</v>
      </c>
      <c r="AK6" s="720">
        <v>610062</v>
      </c>
      <c r="AL6" s="720">
        <v>570940</v>
      </c>
      <c r="AM6" s="720">
        <v>553319</v>
      </c>
      <c r="AN6" s="720">
        <v>564938</v>
      </c>
      <c r="AO6" s="720">
        <v>600292</v>
      </c>
      <c r="AP6" s="720">
        <v>673637</v>
      </c>
      <c r="AQ6" s="720">
        <v>664017</v>
      </c>
      <c r="AR6" s="720">
        <v>701718</v>
      </c>
      <c r="AS6" s="720">
        <v>727081</v>
      </c>
      <c r="AT6" s="720"/>
      <c r="AU6" s="720"/>
      <c r="AV6" s="721">
        <f>SUM(X6:AU6)</f>
        <v>13395209</v>
      </c>
    </row>
    <row r="7" spans="2:48">
      <c r="B7" s="646" t="s">
        <v>629</v>
      </c>
      <c r="C7" s="647">
        <v>1428</v>
      </c>
      <c r="D7" s="647">
        <v>25273</v>
      </c>
      <c r="E7" s="647">
        <v>26597</v>
      </c>
      <c r="F7" s="648">
        <f>SUM(C7:E7)</f>
        <v>53298</v>
      </c>
      <c r="G7" s="648">
        <v>48320</v>
      </c>
      <c r="H7" s="648">
        <v>45569</v>
      </c>
      <c r="I7" s="648">
        <v>44571</v>
      </c>
      <c r="J7" s="648">
        <v>43823</v>
      </c>
      <c r="K7" s="648">
        <v>43417</v>
      </c>
      <c r="L7" s="648">
        <v>45700</v>
      </c>
      <c r="M7" s="648">
        <v>43399</v>
      </c>
      <c r="N7" s="648">
        <v>42369</v>
      </c>
      <c r="O7" s="648">
        <v>46193</v>
      </c>
      <c r="P7" s="648">
        <v>49791</v>
      </c>
      <c r="Q7" s="648">
        <v>42497</v>
      </c>
      <c r="R7" s="648">
        <v>49976</v>
      </c>
      <c r="S7" s="648">
        <v>49964</v>
      </c>
      <c r="T7" s="648">
        <v>49095</v>
      </c>
      <c r="U7" s="648">
        <v>52577</v>
      </c>
      <c r="V7" s="722">
        <v>47256</v>
      </c>
      <c r="W7" s="722">
        <v>49078</v>
      </c>
      <c r="X7" s="722">
        <v>50927</v>
      </c>
      <c r="Y7" s="722">
        <v>45951</v>
      </c>
      <c r="Z7" s="722">
        <v>48372</v>
      </c>
      <c r="AA7" s="722">
        <v>40163</v>
      </c>
      <c r="AB7" s="722">
        <v>39115</v>
      </c>
      <c r="AC7" s="722">
        <v>43374</v>
      </c>
      <c r="AD7" s="722">
        <v>47480</v>
      </c>
      <c r="AE7" s="722">
        <v>49614</v>
      </c>
      <c r="AF7" s="722">
        <v>50431</v>
      </c>
      <c r="AG7" s="722">
        <v>52832</v>
      </c>
      <c r="AH7" s="722">
        <v>52061</v>
      </c>
      <c r="AI7" s="722">
        <v>54179</v>
      </c>
      <c r="AJ7" s="722">
        <v>54679</v>
      </c>
      <c r="AK7" s="722">
        <v>48004</v>
      </c>
      <c r="AL7" s="722">
        <v>50926</v>
      </c>
      <c r="AM7" s="722">
        <v>44223</v>
      </c>
      <c r="AN7" s="722">
        <v>44742</v>
      </c>
      <c r="AO7" s="722">
        <v>50414</v>
      </c>
      <c r="AP7" s="722">
        <v>59191</v>
      </c>
      <c r="AQ7" s="722">
        <v>60586</v>
      </c>
      <c r="AR7" s="722">
        <v>55707</v>
      </c>
      <c r="AS7" s="722">
        <v>54533</v>
      </c>
      <c r="AT7" s="722"/>
      <c r="AU7" s="722"/>
      <c r="AV7" s="721">
        <f>SUM(X7:AU7)</f>
        <v>1097504</v>
      </c>
    </row>
    <row r="8" spans="2:48" s="651" customFormat="1">
      <c r="B8" s="649" t="s">
        <v>630</v>
      </c>
      <c r="C8" s="650">
        <f>C7/C6</f>
        <v>3.246070561117849E-3</v>
      </c>
      <c r="D8" s="650">
        <f>D7/D6</f>
        <v>4.8956623876488484E-2</v>
      </c>
      <c r="E8" s="650">
        <f>E7/E6</f>
        <v>4.5532789446157823E-2</v>
      </c>
      <c r="F8" s="650">
        <f>F7/F6</f>
        <v>3.4602855808129288E-2</v>
      </c>
      <c r="G8" s="650">
        <f t="shared" ref="G8:AS8" si="0">G7/G6</f>
        <v>8.1133722882665057E-2</v>
      </c>
      <c r="H8" s="650">
        <f t="shared" si="0"/>
        <v>7.4730536958152766E-2</v>
      </c>
      <c r="I8" s="650">
        <f t="shared" si="0"/>
        <v>7.1050032798331317E-2</v>
      </c>
      <c r="J8" s="650">
        <f t="shared" si="0"/>
        <v>7.0066408239194369E-2</v>
      </c>
      <c r="K8" s="650">
        <f t="shared" si="0"/>
        <v>6.8507005806614493E-2</v>
      </c>
      <c r="L8" s="650">
        <f t="shared" si="0"/>
        <v>6.2129914058150611E-2</v>
      </c>
      <c r="M8" s="650">
        <f t="shared" si="0"/>
        <v>7.9664958909189038E-2</v>
      </c>
      <c r="N8" s="650">
        <f t="shared" si="0"/>
        <v>7.0314580952878819E-2</v>
      </c>
      <c r="O8" s="650">
        <f t="shared" si="0"/>
        <v>8.2676400812212905E-2</v>
      </c>
      <c r="P8" s="650">
        <f t="shared" si="0"/>
        <v>9.1817287452043067E-2</v>
      </c>
      <c r="Q8" s="650">
        <f t="shared" si="0"/>
        <v>8.4808608382076781E-2</v>
      </c>
      <c r="R8" s="650">
        <f t="shared" si="0"/>
        <v>8.6441758274070676E-2</v>
      </c>
      <c r="S8" s="650">
        <f t="shared" si="0"/>
        <v>8.9347312552864655E-2</v>
      </c>
      <c r="T8" s="650">
        <f t="shared" si="0"/>
        <v>8.503558954631231E-2</v>
      </c>
      <c r="U8" s="650">
        <f t="shared" si="0"/>
        <v>8.3764954044542303E-2</v>
      </c>
      <c r="V8" s="723">
        <f t="shared" si="0"/>
        <v>7.7557853274249133E-2</v>
      </c>
      <c r="W8" s="723">
        <f t="shared" si="0"/>
        <v>7.4108860507186194E-2</v>
      </c>
      <c r="X8" s="723">
        <f t="shared" si="0"/>
        <v>6.6481209760376803E-2</v>
      </c>
      <c r="Y8" s="723">
        <f t="shared" si="0"/>
        <v>7.5740618339874305E-2</v>
      </c>
      <c r="Z8" s="723">
        <f t="shared" si="0"/>
        <v>9.285664923636866E-2</v>
      </c>
      <c r="AA8" s="723">
        <f t="shared" si="0"/>
        <v>0.11091396387004483</v>
      </c>
      <c r="AB8" s="723">
        <f t="shared" si="0"/>
        <v>0.10575022777596038</v>
      </c>
      <c r="AC8" s="723">
        <f t="shared" si="0"/>
        <v>9.7486860041602841E-2</v>
      </c>
      <c r="AD8" s="723">
        <f t="shared" si="0"/>
        <v>8.7158847366464592E-2</v>
      </c>
      <c r="AE8" s="723">
        <f t="shared" si="0"/>
        <v>8.4979052408373557E-2</v>
      </c>
      <c r="AF8" s="723">
        <f t="shared" si="0"/>
        <v>7.8048259579990148E-2</v>
      </c>
      <c r="AG8" s="723">
        <f t="shared" si="0"/>
        <v>7.4417451591047706E-2</v>
      </c>
      <c r="AH8" s="723">
        <f t="shared" si="0"/>
        <v>7.708789272461819E-2</v>
      </c>
      <c r="AI8" s="723">
        <f t="shared" si="0"/>
        <v>7.3813351498637603E-2</v>
      </c>
      <c r="AJ8" s="723">
        <f t="shared" si="0"/>
        <v>7.1512554815741938E-2</v>
      </c>
      <c r="AK8" s="723">
        <f t="shared" si="0"/>
        <v>7.8687084263566659E-2</v>
      </c>
      <c r="AL8" s="723">
        <f t="shared" si="0"/>
        <v>8.9196763232563842E-2</v>
      </c>
      <c r="AM8" s="723">
        <f t="shared" si="0"/>
        <v>7.9923154635933344E-2</v>
      </c>
      <c r="AN8" s="723">
        <f t="shared" si="0"/>
        <v>7.9198071292779032E-2</v>
      </c>
      <c r="AO8" s="723">
        <f t="shared" si="0"/>
        <v>8.3982461868557304E-2</v>
      </c>
      <c r="AP8" s="723">
        <f t="shared" si="0"/>
        <v>8.7867798235548231E-2</v>
      </c>
      <c r="AQ8" s="723">
        <f t="shared" si="0"/>
        <v>9.1241639897773702E-2</v>
      </c>
      <c r="AR8" s="723">
        <f t="shared" si="0"/>
        <v>7.9386591194753442E-2</v>
      </c>
      <c r="AS8" s="723">
        <f t="shared" si="0"/>
        <v>7.500264757296643E-2</v>
      </c>
      <c r="AT8" s="723"/>
      <c r="AU8" s="723"/>
      <c r="AV8" s="724">
        <f>AV7/AV6</f>
        <v>8.1932577535744316E-2</v>
      </c>
    </row>
    <row r="9" spans="2:48">
      <c r="B9" s="652" t="s">
        <v>527</v>
      </c>
      <c r="C9" s="653">
        <f>C6-C7</f>
        <v>438488.49999999994</v>
      </c>
      <c r="D9" s="653">
        <f>D6-D7</f>
        <v>490959.49315068492</v>
      </c>
      <c r="E9" s="653">
        <f>E6-E7</f>
        <v>557531.5</v>
      </c>
      <c r="F9" s="653">
        <f>F6-F7</f>
        <v>1486979.493150685</v>
      </c>
      <c r="G9" s="653">
        <f t="shared" ref="G9:Y9" si="1">G6-G7</f>
        <v>547240</v>
      </c>
      <c r="H9" s="653">
        <f t="shared" si="1"/>
        <v>564208.5</v>
      </c>
      <c r="I9" s="653">
        <f t="shared" si="1"/>
        <v>582747.5</v>
      </c>
      <c r="J9" s="653">
        <f t="shared" si="1"/>
        <v>581626.5</v>
      </c>
      <c r="K9" s="653">
        <f t="shared" si="1"/>
        <v>590343</v>
      </c>
      <c r="L9" s="653">
        <f t="shared" si="1"/>
        <v>689855.5</v>
      </c>
      <c r="M9" s="653">
        <f t="shared" si="1"/>
        <v>501370</v>
      </c>
      <c r="N9" s="653">
        <f t="shared" si="1"/>
        <v>560194.5</v>
      </c>
      <c r="O9" s="653">
        <f t="shared" si="1"/>
        <v>512527.5</v>
      </c>
      <c r="P9" s="653">
        <f t="shared" si="1"/>
        <v>492492.5</v>
      </c>
      <c r="Q9" s="653">
        <f t="shared" si="1"/>
        <v>458596</v>
      </c>
      <c r="R9" s="653">
        <f t="shared" si="1"/>
        <v>528170.5</v>
      </c>
      <c r="S9" s="653">
        <f t="shared" si="1"/>
        <v>509247</v>
      </c>
      <c r="T9" s="653">
        <f t="shared" si="1"/>
        <v>528251.5</v>
      </c>
      <c r="U9" s="653">
        <f t="shared" si="1"/>
        <v>575096</v>
      </c>
      <c r="V9" s="725">
        <f>V6-V7</f>
        <v>562044</v>
      </c>
      <c r="W9" s="725">
        <f t="shared" si="1"/>
        <v>613164</v>
      </c>
      <c r="X9" s="725">
        <f t="shared" si="1"/>
        <v>715109</v>
      </c>
      <c r="Y9" s="725">
        <f t="shared" si="1"/>
        <v>560738</v>
      </c>
      <c r="Z9" s="725">
        <f>Z6-Z7</f>
        <v>472560</v>
      </c>
      <c r="AA9" s="725">
        <f>AA6-AA7</f>
        <v>321946.5</v>
      </c>
      <c r="AB9" s="725">
        <f t="shared" ref="AB9:AD9" si="2">AB6-AB7</f>
        <v>330766</v>
      </c>
      <c r="AC9" s="725">
        <f t="shared" si="2"/>
        <v>401547.5</v>
      </c>
      <c r="AD9" s="725">
        <f t="shared" si="2"/>
        <v>497272.5</v>
      </c>
      <c r="AE9" s="725">
        <f>AE6-AE7</f>
        <v>534224</v>
      </c>
      <c r="AF9" s="725">
        <f>AF6-AF7</f>
        <v>595720.5</v>
      </c>
      <c r="AG9" s="725">
        <f>AG6-AG7</f>
        <v>657109</v>
      </c>
      <c r="AH9" s="725"/>
      <c r="AI9" s="725"/>
      <c r="AJ9" s="725"/>
      <c r="AK9" s="725"/>
      <c r="AL9" s="725"/>
      <c r="AM9" s="725"/>
      <c r="AN9" s="725"/>
      <c r="AO9" s="725"/>
      <c r="AP9" s="725"/>
      <c r="AQ9" s="725"/>
      <c r="AR9" s="725"/>
      <c r="AS9" s="725"/>
      <c r="AT9" s="725"/>
      <c r="AU9" s="725"/>
      <c r="AV9" s="726">
        <f>AV6-AV7</f>
        <v>12297705</v>
      </c>
    </row>
    <row r="10" spans="2:48" ht="12.75" customHeight="1">
      <c r="B10" s="654" t="s">
        <v>631</v>
      </c>
      <c r="C10" s="655"/>
      <c r="D10" s="655"/>
      <c r="E10" s="655"/>
      <c r="F10" s="655"/>
      <c r="G10" s="656"/>
      <c r="H10" s="656"/>
      <c r="I10" s="656"/>
      <c r="J10" s="656"/>
      <c r="K10" s="656"/>
      <c r="L10" s="656"/>
      <c r="M10" s="656"/>
      <c r="N10" s="656"/>
      <c r="O10" s="656"/>
      <c r="P10" s="656"/>
      <c r="Q10" s="656"/>
      <c r="R10" s="656"/>
      <c r="S10" s="656"/>
      <c r="T10" s="656"/>
      <c r="U10" s="656"/>
      <c r="V10" s="727"/>
      <c r="W10" s="727"/>
      <c r="X10" s="727"/>
      <c r="Y10" s="727"/>
      <c r="Z10" s="727"/>
      <c r="AA10" s="727"/>
      <c r="AB10" s="727"/>
      <c r="AC10" s="727"/>
      <c r="AD10" s="727"/>
      <c r="AE10" s="727"/>
      <c r="AF10" s="727"/>
      <c r="AG10" s="727"/>
      <c r="AH10" s="727"/>
      <c r="AI10" s="727"/>
      <c r="AJ10" s="727"/>
      <c r="AK10" s="727"/>
      <c r="AL10" s="727"/>
      <c r="AM10" s="727"/>
      <c r="AN10" s="727"/>
      <c r="AO10" s="727"/>
      <c r="AP10" s="727"/>
      <c r="AQ10" s="727"/>
      <c r="AR10" s="727"/>
      <c r="AS10" s="727"/>
      <c r="AT10" s="727"/>
      <c r="AU10" s="727"/>
      <c r="AV10" s="728"/>
    </row>
    <row r="11" spans="2:48" s="651" customFormat="1">
      <c r="B11" s="657" t="s">
        <v>632</v>
      </c>
      <c r="C11" s="658">
        <v>7.0999999999999994E-2</v>
      </c>
      <c r="D11" s="658">
        <f>C11</f>
        <v>7.0999999999999994E-2</v>
      </c>
      <c r="E11" s="658">
        <f>D11</f>
        <v>7.0999999999999994E-2</v>
      </c>
      <c r="F11" s="658">
        <f>E11</f>
        <v>7.0999999999999994E-2</v>
      </c>
      <c r="G11" s="658">
        <v>7.0999999999999994E-2</v>
      </c>
      <c r="H11" s="658">
        <f t="shared" ref="H11:AU11" si="3">G11</f>
        <v>7.0999999999999994E-2</v>
      </c>
      <c r="I11" s="658">
        <f t="shared" si="3"/>
        <v>7.0999999999999994E-2</v>
      </c>
      <c r="J11" s="658">
        <f t="shared" si="3"/>
        <v>7.0999999999999994E-2</v>
      </c>
      <c r="K11" s="658">
        <f t="shared" si="3"/>
        <v>7.0999999999999994E-2</v>
      </c>
      <c r="L11" s="658">
        <f t="shared" si="3"/>
        <v>7.0999999999999994E-2</v>
      </c>
      <c r="M11" s="658">
        <f t="shared" si="3"/>
        <v>7.0999999999999994E-2</v>
      </c>
      <c r="N11" s="658">
        <f t="shared" si="3"/>
        <v>7.0999999999999994E-2</v>
      </c>
      <c r="O11" s="658">
        <f t="shared" si="3"/>
        <v>7.0999999999999994E-2</v>
      </c>
      <c r="P11" s="658">
        <f t="shared" si="3"/>
        <v>7.0999999999999994E-2</v>
      </c>
      <c r="Q11" s="658">
        <f t="shared" si="3"/>
        <v>7.0999999999999994E-2</v>
      </c>
      <c r="R11" s="658">
        <f t="shared" si="3"/>
        <v>7.0999999999999994E-2</v>
      </c>
      <c r="S11" s="658">
        <f t="shared" si="3"/>
        <v>7.0999999999999994E-2</v>
      </c>
      <c r="T11" s="658">
        <f t="shared" si="3"/>
        <v>7.0999999999999994E-2</v>
      </c>
      <c r="U11" s="658">
        <f t="shared" si="3"/>
        <v>7.0999999999999994E-2</v>
      </c>
      <c r="V11" s="729">
        <f t="shared" si="3"/>
        <v>7.0999999999999994E-2</v>
      </c>
      <c r="W11" s="729">
        <f t="shared" si="3"/>
        <v>7.0999999999999994E-2</v>
      </c>
      <c r="X11" s="729">
        <f t="shared" si="3"/>
        <v>7.0999999999999994E-2</v>
      </c>
      <c r="Y11" s="729">
        <f t="shared" si="3"/>
        <v>7.0999999999999994E-2</v>
      </c>
      <c r="Z11" s="729">
        <f t="shared" si="3"/>
        <v>7.0999999999999994E-2</v>
      </c>
      <c r="AA11" s="729">
        <f t="shared" si="3"/>
        <v>7.0999999999999994E-2</v>
      </c>
      <c r="AB11" s="729">
        <f t="shared" si="3"/>
        <v>7.0999999999999994E-2</v>
      </c>
      <c r="AC11" s="729">
        <f t="shared" si="3"/>
        <v>7.0999999999999994E-2</v>
      </c>
      <c r="AD11" s="729">
        <f t="shared" si="3"/>
        <v>7.0999999999999994E-2</v>
      </c>
      <c r="AE11" s="729">
        <f t="shared" si="3"/>
        <v>7.0999999999999994E-2</v>
      </c>
      <c r="AF11" s="729">
        <f t="shared" si="3"/>
        <v>7.0999999999999994E-2</v>
      </c>
      <c r="AG11" s="729">
        <f t="shared" si="3"/>
        <v>7.0999999999999994E-2</v>
      </c>
      <c r="AH11" s="729">
        <f t="shared" si="3"/>
        <v>7.0999999999999994E-2</v>
      </c>
      <c r="AI11" s="729">
        <f t="shared" si="3"/>
        <v>7.0999999999999994E-2</v>
      </c>
      <c r="AJ11" s="729">
        <f t="shared" si="3"/>
        <v>7.0999999999999994E-2</v>
      </c>
      <c r="AK11" s="729">
        <f t="shared" si="3"/>
        <v>7.0999999999999994E-2</v>
      </c>
      <c r="AL11" s="729">
        <f t="shared" si="3"/>
        <v>7.0999999999999994E-2</v>
      </c>
      <c r="AM11" s="729">
        <f t="shared" si="3"/>
        <v>7.0999999999999994E-2</v>
      </c>
      <c r="AN11" s="729">
        <f t="shared" si="3"/>
        <v>7.0999999999999994E-2</v>
      </c>
      <c r="AO11" s="729">
        <f t="shared" si="3"/>
        <v>7.0999999999999994E-2</v>
      </c>
      <c r="AP11" s="729">
        <f t="shared" si="3"/>
        <v>7.0999999999999994E-2</v>
      </c>
      <c r="AQ11" s="729">
        <f t="shared" si="3"/>
        <v>7.0999999999999994E-2</v>
      </c>
      <c r="AR11" s="729">
        <f t="shared" si="3"/>
        <v>7.0999999999999994E-2</v>
      </c>
      <c r="AS11" s="729">
        <f t="shared" si="3"/>
        <v>7.0999999999999994E-2</v>
      </c>
      <c r="AT11" s="729">
        <f t="shared" si="3"/>
        <v>7.0999999999999994E-2</v>
      </c>
      <c r="AU11" s="729">
        <f t="shared" si="3"/>
        <v>7.0999999999999994E-2</v>
      </c>
      <c r="AV11" s="730">
        <v>7.0999999999999994E-2</v>
      </c>
    </row>
    <row r="12" spans="2:48">
      <c r="B12" s="652" t="s">
        <v>633</v>
      </c>
      <c r="C12" s="659"/>
      <c r="D12" s="659"/>
      <c r="E12" s="659"/>
      <c r="F12" s="659"/>
      <c r="G12" s="653">
        <f>G6*(1-G11)</f>
        <v>553275.24</v>
      </c>
      <c r="H12" s="653">
        <f t="shared" ref="H12:N12" si="4">H6*(1-H11)</f>
        <v>566483.29749999999</v>
      </c>
      <c r="I12" s="653">
        <f t="shared" si="4"/>
        <v>582778.88650000002</v>
      </c>
      <c r="J12" s="653">
        <f t="shared" si="4"/>
        <v>581042.58550000004</v>
      </c>
      <c r="K12" s="653">
        <f t="shared" si="4"/>
        <v>588763.04</v>
      </c>
      <c r="L12" s="653">
        <f t="shared" si="4"/>
        <v>683331.05950000009</v>
      </c>
      <c r="M12" s="653">
        <f t="shared" si="4"/>
        <v>506090.40100000001</v>
      </c>
      <c r="N12" s="653">
        <f t="shared" si="4"/>
        <v>559781.4915</v>
      </c>
      <c r="O12" s="653">
        <f>O6*(1-O11)</f>
        <v>519051.34450000001</v>
      </c>
      <c r="P12" s="653">
        <f>P6*(1-P11)</f>
        <v>503781.37150000001</v>
      </c>
      <c r="Q12" s="653">
        <f>Q6*(1-Q11)</f>
        <v>465515.397</v>
      </c>
      <c r="R12" s="653">
        <f>R6*(1-R11)</f>
        <v>537098.09850000008</v>
      </c>
      <c r="S12" s="653">
        <f>S6*(1-S11)</f>
        <v>519507.01900000003</v>
      </c>
      <c r="T12" s="653">
        <f t="shared" ref="T12:V12" si="5">T6*(1-T11)</f>
        <v>536354.89850000001</v>
      </c>
      <c r="U12" s="653">
        <f t="shared" si="5"/>
        <v>583108.21700000006</v>
      </c>
      <c r="V12" s="725">
        <f t="shared" si="5"/>
        <v>566039.70000000007</v>
      </c>
      <c r="W12" s="725">
        <f>W6*(1-W11)</f>
        <v>615222.81800000009</v>
      </c>
      <c r="X12" s="725">
        <f>X6*(1-X11)</f>
        <v>711647.44400000002</v>
      </c>
      <c r="Y12" s="725">
        <f>Y6*(1-Y11)</f>
        <v>563614.08100000001</v>
      </c>
      <c r="Z12" s="725">
        <f>Z6*(1-Z11)</f>
        <v>483945.82800000004</v>
      </c>
      <c r="AA12" s="725">
        <f>AA6*(1-AA11)</f>
        <v>336399.7255</v>
      </c>
      <c r="AB12" s="725">
        <f t="shared" ref="AB12:AE12" si="6">AB6*(1-AB11)</f>
        <v>343619.44900000002</v>
      </c>
      <c r="AC12" s="725">
        <f t="shared" si="6"/>
        <v>413332.0735</v>
      </c>
      <c r="AD12" s="725">
        <f t="shared" si="6"/>
        <v>506075.07250000001</v>
      </c>
      <c r="AE12" s="725">
        <f t="shared" si="6"/>
        <v>542385.50199999998</v>
      </c>
      <c r="AF12" s="725">
        <f t="shared" ref="AF12:AU12" si="7">AF6*(1-AF11)</f>
        <v>600274.74349999998</v>
      </c>
      <c r="AG12" s="725">
        <f t="shared" si="7"/>
        <v>659535.18900000001</v>
      </c>
      <c r="AH12" s="725">
        <f t="shared" si="7"/>
        <v>627396.43400000001</v>
      </c>
      <c r="AI12" s="725">
        <f t="shared" si="7"/>
        <v>681886</v>
      </c>
      <c r="AJ12" s="725">
        <f t="shared" si="7"/>
        <v>710319.90300000005</v>
      </c>
      <c r="AK12" s="725">
        <f t="shared" si="7"/>
        <v>566747.598</v>
      </c>
      <c r="AL12" s="725">
        <f t="shared" si="7"/>
        <v>530403.26</v>
      </c>
      <c r="AM12" s="725">
        <f t="shared" si="7"/>
        <v>514033.35100000002</v>
      </c>
      <c r="AN12" s="725">
        <f t="shared" si="7"/>
        <v>524827.402</v>
      </c>
      <c r="AO12" s="725">
        <f t="shared" si="7"/>
        <v>557671.26800000004</v>
      </c>
      <c r="AP12" s="725">
        <f t="shared" si="7"/>
        <v>625808.77300000004</v>
      </c>
      <c r="AQ12" s="725">
        <f t="shared" si="7"/>
        <v>616871.79300000006</v>
      </c>
      <c r="AR12" s="725">
        <f t="shared" si="7"/>
        <v>651896.022</v>
      </c>
      <c r="AS12" s="725">
        <f>AS6*(1-AS11)</f>
        <v>675458.24900000007</v>
      </c>
      <c r="AT12" s="725">
        <f t="shared" si="7"/>
        <v>0</v>
      </c>
      <c r="AU12" s="725">
        <f t="shared" si="7"/>
        <v>0</v>
      </c>
      <c r="AV12" s="726">
        <f>SUM(X12:AU12)</f>
        <v>12444149.161</v>
      </c>
    </row>
    <row r="13" spans="2:48" ht="9" customHeight="1">
      <c r="V13" s="718"/>
      <c r="W13" s="718"/>
      <c r="X13" s="718"/>
      <c r="Y13" s="718"/>
      <c r="Z13" s="718"/>
      <c r="AA13" s="718"/>
      <c r="AB13" s="718"/>
      <c r="AC13" s="718"/>
      <c r="AD13" s="718"/>
      <c r="AE13" s="718"/>
      <c r="AF13" s="718"/>
      <c r="AG13" s="718"/>
      <c r="AH13" s="718"/>
      <c r="AI13" s="718"/>
      <c r="AJ13" s="718"/>
      <c r="AK13" s="718"/>
      <c r="AL13" s="718"/>
      <c r="AM13" s="718"/>
      <c r="AN13" s="718"/>
      <c r="AO13" s="718"/>
      <c r="AP13" s="718"/>
      <c r="AQ13" s="718"/>
      <c r="AR13" s="718"/>
      <c r="AS13" s="718"/>
      <c r="AT13" s="718"/>
      <c r="AU13" s="718"/>
      <c r="AV13" s="718"/>
    </row>
    <row r="14" spans="2:48" s="651" customFormat="1">
      <c r="B14" s="660" t="s">
        <v>636</v>
      </c>
      <c r="C14" s="661"/>
      <c r="D14" s="661"/>
      <c r="E14" s="661"/>
      <c r="F14" s="661"/>
      <c r="G14" s="662">
        <f t="shared" ref="G14:N14" si="8">G9-G12</f>
        <v>-6035.2399999999907</v>
      </c>
      <c r="H14" s="662">
        <f t="shared" si="8"/>
        <v>-2274.797499999986</v>
      </c>
      <c r="I14" s="662">
        <f t="shared" si="8"/>
        <v>-31.386500000022352</v>
      </c>
      <c r="J14" s="662">
        <f t="shared" si="8"/>
        <v>583.9144999999553</v>
      </c>
      <c r="K14" s="662">
        <f t="shared" si="8"/>
        <v>1579.9599999999627</v>
      </c>
      <c r="L14" s="662">
        <f t="shared" si="8"/>
        <v>6524.4404999999097</v>
      </c>
      <c r="M14" s="662">
        <f t="shared" si="8"/>
        <v>-4720.4010000000126</v>
      </c>
      <c r="N14" s="662">
        <f t="shared" si="8"/>
        <v>413.00849999999627</v>
      </c>
      <c r="O14" s="662">
        <f>O9-O12</f>
        <v>-6523.8445000000065</v>
      </c>
      <c r="P14" s="662">
        <f>P9-P12</f>
        <v>-11288.871500000008</v>
      </c>
      <c r="Q14" s="662">
        <f>Q9-Q12</f>
        <v>-6919.3969999999972</v>
      </c>
      <c r="R14" s="662">
        <f>R9-R12</f>
        <v>-8927.5985000000801</v>
      </c>
      <c r="S14" s="662">
        <f>S9-S12</f>
        <v>-10260.019000000029</v>
      </c>
      <c r="T14" s="662">
        <f t="shared" ref="T14" si="9">T9-T12</f>
        <v>-8103.3985000000102</v>
      </c>
      <c r="U14" s="662">
        <f>U9-U12</f>
        <v>-8012.2170000000624</v>
      </c>
      <c r="V14" s="731">
        <f>V9-V12</f>
        <v>-3995.7000000000698</v>
      </c>
      <c r="W14" s="731">
        <f>W9-W12</f>
        <v>-2058.8180000000866</v>
      </c>
      <c r="X14" s="731">
        <f t="shared" ref="X14" si="10">X9-X12</f>
        <v>3461.5559999999823</v>
      </c>
      <c r="Y14" s="731">
        <f>Y9-Y12</f>
        <v>-2876.0810000000056</v>
      </c>
      <c r="Z14" s="731">
        <f>Z9-Z12</f>
        <v>-11385.828000000038</v>
      </c>
      <c r="AA14" s="731">
        <f>AA9-AA12</f>
        <v>-14453.2255</v>
      </c>
      <c r="AB14" s="731">
        <f t="shared" ref="AB14:AE14" si="11">AB9-AB12</f>
        <v>-12853.449000000022</v>
      </c>
      <c r="AC14" s="731">
        <f t="shared" si="11"/>
        <v>-11784.573499999999</v>
      </c>
      <c r="AD14" s="731">
        <f t="shared" si="11"/>
        <v>-8802.5725000000093</v>
      </c>
      <c r="AE14" s="731">
        <f t="shared" si="11"/>
        <v>-8161.5019999999786</v>
      </c>
      <c r="AF14" s="731">
        <f t="shared" ref="AF14:AU14" si="12">AF9-AF12</f>
        <v>-4554.2434999999823</v>
      </c>
      <c r="AG14" s="731">
        <f t="shared" si="12"/>
        <v>-2426.189000000013</v>
      </c>
      <c r="AH14" s="731">
        <f t="shared" si="12"/>
        <v>-627396.43400000001</v>
      </c>
      <c r="AI14" s="731">
        <f t="shared" si="12"/>
        <v>-681886</v>
      </c>
      <c r="AJ14" s="731">
        <f t="shared" si="12"/>
        <v>-710319.90300000005</v>
      </c>
      <c r="AK14" s="731">
        <f t="shared" si="12"/>
        <v>-566747.598</v>
      </c>
      <c r="AL14" s="731">
        <f t="shared" si="12"/>
        <v>-530403.26</v>
      </c>
      <c r="AM14" s="731">
        <f t="shared" si="12"/>
        <v>-514033.35100000002</v>
      </c>
      <c r="AN14" s="731">
        <f t="shared" si="12"/>
        <v>-524827.402</v>
      </c>
      <c r="AO14" s="731">
        <f t="shared" si="12"/>
        <v>-557671.26800000004</v>
      </c>
      <c r="AP14" s="731">
        <f t="shared" si="12"/>
        <v>-625808.77300000004</v>
      </c>
      <c r="AQ14" s="731">
        <f t="shared" si="12"/>
        <v>-616871.79300000006</v>
      </c>
      <c r="AR14" s="731">
        <f t="shared" si="12"/>
        <v>-651896.022</v>
      </c>
      <c r="AS14" s="731">
        <f>AS9-AS12</f>
        <v>-675458.24900000007</v>
      </c>
      <c r="AT14" s="731">
        <f t="shared" si="12"/>
        <v>0</v>
      </c>
      <c r="AU14" s="731">
        <f t="shared" si="12"/>
        <v>0</v>
      </c>
      <c r="AV14" s="732">
        <f>SUM(X14:AU14)</f>
        <v>-7357156.1610000003</v>
      </c>
    </row>
    <row r="16" spans="2:48" ht="25.5">
      <c r="C16" s="737" t="s">
        <v>516</v>
      </c>
      <c r="D16" s="738" t="s">
        <v>670</v>
      </c>
      <c r="E16" s="738" t="s">
        <v>671</v>
      </c>
    </row>
    <row r="17" spans="3:43">
      <c r="C17" s="708">
        <v>7</v>
      </c>
      <c r="D17" s="797">
        <f>SUMIF($G$3:$AI$3,C17,$G$7:$AI$7)/SUMIF($G$3:$AI$3,C17,$G$6:$AI$6)</f>
        <v>7.5551549226914386E-2</v>
      </c>
      <c r="E17" s="736">
        <f>IF('Painel de Controle'!$D$45="Aditivo3",'Levantamento eixo suspenso ADT3'!$I$16,'Eixo Suspenso Pleito 6'!D17)</f>
        <v>7.5551549226914386E-2</v>
      </c>
      <c r="AM17" s="737" t="s">
        <v>668</v>
      </c>
      <c r="AN17" s="737" t="s">
        <v>628</v>
      </c>
      <c r="AO17" s="737" t="s">
        <v>629</v>
      </c>
      <c r="AP17" s="737" t="s">
        <v>630</v>
      </c>
      <c r="AQ17" s="737" t="s">
        <v>527</v>
      </c>
    </row>
    <row r="18" spans="3:43">
      <c r="C18" s="708">
        <v>8</v>
      </c>
      <c r="D18" s="797">
        <f>SUMIF($G$3:$AI$3,C18,$G$7:$AI$7)/SUMIF($G$3:$AI$3,C18,$G$6:$AI$6)</f>
        <v>7.8853504829521581E-2</v>
      </c>
      <c r="E18" s="736">
        <f>IF('Painel de Controle'!$D$45="Aditivo3",'Levantamento eixo suspenso ADT3'!$I$16,'Eixo Suspenso Pleito 6'!D18)</f>
        <v>7.8853504829521581E-2</v>
      </c>
      <c r="AM18" s="740">
        <v>43313</v>
      </c>
      <c r="AN18" s="743">
        <f t="array" ref="AN18:AN20">TRANSPOSE(G6:I6)</f>
        <v>595560</v>
      </c>
      <c r="AO18" s="743">
        <f t="array" ref="AO18:AO20">TRANSPOSE(G7:I7)</f>
        <v>48320</v>
      </c>
      <c r="AP18" s="741">
        <f>AO18/AN18</f>
        <v>8.1133722882665057E-2</v>
      </c>
      <c r="AQ18" s="743">
        <f>AN18-AO18</f>
        <v>547240</v>
      </c>
    </row>
    <row r="19" spans="3:43">
      <c r="C19" s="708">
        <v>9</v>
      </c>
      <c r="D19" s="797">
        <f>SUMIF($G$3:$AI$3,C19,$G$7:$AI$7)/SUMIF($G$3:$AI$3,C19,$G$6:$AI$6)</f>
        <v>8.2702510138726898E-2</v>
      </c>
      <c r="E19" s="736">
        <f>IF('Painel de Controle'!$D$45="Aditivo3",'Levantamento eixo suspenso ADT3'!$I$16,'Eixo Suspenso Pleito 6'!D19)</f>
        <v>8.2702510138726898E-2</v>
      </c>
      <c r="AM19" s="740">
        <v>43344</v>
      </c>
      <c r="AN19" s="743">
        <v>609777.5</v>
      </c>
      <c r="AO19" s="743">
        <v>45569</v>
      </c>
      <c r="AP19" s="741">
        <f>AO19/AN19</f>
        <v>7.4730536958152766E-2</v>
      </c>
      <c r="AQ19" s="743">
        <f>AN19-AO19</f>
        <v>564208.5</v>
      </c>
    </row>
    <row r="20" spans="3:43">
      <c r="C20" s="708">
        <v>10</v>
      </c>
      <c r="D20" s="797">
        <f>SUMIF($G$3:$AU$3,C20,$G$7:$AU$7)/SUMIF($G$3:$AU$3,C20,$G$6:$AU$6)</f>
        <v>8.0261282045296936E-2</v>
      </c>
      <c r="E20" s="736">
        <f>IF('Painel de Controle'!$D$45="Aditivo3",'Levantamento eixo suspenso ADT3'!$I$16,'Eixo Suspenso Pleito 6'!D20)</f>
        <v>8.0261282045296936E-2</v>
      </c>
      <c r="AM20" s="740">
        <v>43374</v>
      </c>
      <c r="AN20" s="743">
        <v>627318.5</v>
      </c>
      <c r="AO20" s="743">
        <v>44571</v>
      </c>
      <c r="AP20" s="741">
        <f>AO20/AN20</f>
        <v>7.1050032798331317E-2</v>
      </c>
      <c r="AQ20" s="743">
        <f>AN20-AO20</f>
        <v>582747.5</v>
      </c>
    </row>
    <row r="21" spans="3:43" ht="13.5" thickBot="1">
      <c r="AM21" s="651" t="s">
        <v>525</v>
      </c>
      <c r="AN21" s="744">
        <f>SUM(AN18:AN20)</f>
        <v>1832656</v>
      </c>
      <c r="AO21" s="744">
        <f>SUM(AO18:AO20)</f>
        <v>138460</v>
      </c>
      <c r="AP21" s="742">
        <f>AO21/AN21</f>
        <v>7.5551549226914386E-2</v>
      </c>
      <c r="AQ21" s="744">
        <f>SUM(AQ18:AQ20)</f>
        <v>1694196</v>
      </c>
    </row>
    <row r="22" spans="3:43" ht="13.5" thickTop="1"/>
    <row r="23" spans="3:43">
      <c r="AM23" s="737" t="s">
        <v>669</v>
      </c>
      <c r="AN23" s="737" t="s">
        <v>628</v>
      </c>
      <c r="AO23" s="737" t="s">
        <v>629</v>
      </c>
      <c r="AP23" s="737" t="s">
        <v>630</v>
      </c>
      <c r="AQ23" s="737" t="s">
        <v>527</v>
      </c>
    </row>
    <row r="24" spans="3:43">
      <c r="AM24" s="740">
        <v>43405</v>
      </c>
      <c r="AN24" s="743">
        <f t="array" ref="AN24:AN35">TRANSPOSE(J6:U6)</f>
        <v>625449.5</v>
      </c>
      <c r="AO24" s="743">
        <f t="array" ref="AO24:AO35">TRANSPOSE(J7:U7)</f>
        <v>43823</v>
      </c>
      <c r="AP24" s="741">
        <f t="shared" ref="AP24:AP35" si="13">AO24/AN24</f>
        <v>7.0066408239194369E-2</v>
      </c>
      <c r="AQ24" s="743">
        <f t="shared" ref="AQ24:AQ35" si="14">AN24-AO24</f>
        <v>581626.5</v>
      </c>
    </row>
    <row r="25" spans="3:43">
      <c r="AM25" s="740">
        <v>43435</v>
      </c>
      <c r="AN25" s="743">
        <v>633760</v>
      </c>
      <c r="AO25" s="743">
        <v>43417</v>
      </c>
      <c r="AP25" s="741">
        <f t="shared" si="13"/>
        <v>6.8507005806614493E-2</v>
      </c>
      <c r="AQ25" s="743">
        <f>AN25-AO25</f>
        <v>590343</v>
      </c>
    </row>
    <row r="26" spans="3:43">
      <c r="AM26" s="740">
        <v>43466</v>
      </c>
      <c r="AN26" s="743">
        <v>735555.5</v>
      </c>
      <c r="AO26" s="743">
        <v>45700</v>
      </c>
      <c r="AP26" s="741">
        <f t="shared" si="13"/>
        <v>6.2129914058150611E-2</v>
      </c>
      <c r="AQ26" s="743">
        <f t="shared" si="14"/>
        <v>689855.5</v>
      </c>
    </row>
    <row r="27" spans="3:43">
      <c r="AM27" s="740">
        <v>43497</v>
      </c>
      <c r="AN27" s="743">
        <v>544769</v>
      </c>
      <c r="AO27" s="743">
        <v>43399</v>
      </c>
      <c r="AP27" s="741">
        <f t="shared" si="13"/>
        <v>7.9664958909189038E-2</v>
      </c>
      <c r="AQ27" s="743">
        <f t="shared" si="14"/>
        <v>501370</v>
      </c>
    </row>
    <row r="28" spans="3:43">
      <c r="AM28" s="740">
        <v>43525</v>
      </c>
      <c r="AN28" s="743">
        <v>602563.5</v>
      </c>
      <c r="AO28" s="743">
        <v>42369</v>
      </c>
      <c r="AP28" s="741">
        <f t="shared" si="13"/>
        <v>7.0314580952878819E-2</v>
      </c>
      <c r="AQ28" s="743">
        <f t="shared" si="14"/>
        <v>560194.5</v>
      </c>
    </row>
    <row r="29" spans="3:43">
      <c r="AM29" s="740">
        <v>43556</v>
      </c>
      <c r="AN29" s="743">
        <v>558720.5</v>
      </c>
      <c r="AO29" s="743">
        <v>46193</v>
      </c>
      <c r="AP29" s="741">
        <f t="shared" si="13"/>
        <v>8.2676400812212905E-2</v>
      </c>
      <c r="AQ29" s="743">
        <f t="shared" si="14"/>
        <v>512527.5</v>
      </c>
    </row>
    <row r="30" spans="3:43">
      <c r="AM30" s="740">
        <v>43586</v>
      </c>
      <c r="AN30" s="743">
        <v>542283.5</v>
      </c>
      <c r="AO30" s="743">
        <v>49791</v>
      </c>
      <c r="AP30" s="741">
        <f t="shared" si="13"/>
        <v>9.1817287452043067E-2</v>
      </c>
      <c r="AQ30" s="743">
        <f t="shared" si="14"/>
        <v>492492.5</v>
      </c>
    </row>
    <row r="31" spans="3:43">
      <c r="AM31" s="740">
        <v>43617</v>
      </c>
      <c r="AN31" s="743">
        <v>501093</v>
      </c>
      <c r="AO31" s="743">
        <v>42497</v>
      </c>
      <c r="AP31" s="741">
        <f t="shared" si="13"/>
        <v>8.4808608382076781E-2</v>
      </c>
      <c r="AQ31" s="743">
        <f t="shared" si="14"/>
        <v>458596</v>
      </c>
    </row>
    <row r="32" spans="3:43">
      <c r="AM32" s="740">
        <v>43647</v>
      </c>
      <c r="AN32" s="743">
        <v>578146.5</v>
      </c>
      <c r="AO32" s="743">
        <v>49976</v>
      </c>
      <c r="AP32" s="741">
        <f t="shared" si="13"/>
        <v>8.6441758274070676E-2</v>
      </c>
      <c r="AQ32" s="743">
        <f t="shared" si="14"/>
        <v>528170.5</v>
      </c>
    </row>
    <row r="33" spans="39:43">
      <c r="AM33" s="740">
        <v>43678</v>
      </c>
      <c r="AN33" s="743">
        <v>559211</v>
      </c>
      <c r="AO33" s="743">
        <v>49964</v>
      </c>
      <c r="AP33" s="741">
        <f t="shared" si="13"/>
        <v>8.9347312552864655E-2</v>
      </c>
      <c r="AQ33" s="743">
        <f t="shared" si="14"/>
        <v>509247</v>
      </c>
    </row>
    <row r="34" spans="39:43">
      <c r="AM34" s="740">
        <v>43709</v>
      </c>
      <c r="AN34" s="743">
        <v>577346.5</v>
      </c>
      <c r="AO34" s="743">
        <v>49095</v>
      </c>
      <c r="AP34" s="741">
        <f t="shared" si="13"/>
        <v>8.503558954631231E-2</v>
      </c>
      <c r="AQ34" s="743">
        <f t="shared" si="14"/>
        <v>528251.5</v>
      </c>
    </row>
    <row r="35" spans="39:43">
      <c r="AM35" s="740">
        <v>43739</v>
      </c>
      <c r="AN35" s="743">
        <v>627673</v>
      </c>
      <c r="AO35" s="743">
        <v>52577</v>
      </c>
      <c r="AP35" s="741">
        <f t="shared" si="13"/>
        <v>8.3764954044542303E-2</v>
      </c>
      <c r="AQ35" s="743">
        <f t="shared" si="14"/>
        <v>575096</v>
      </c>
    </row>
    <row r="36" spans="39:43" ht="13.5" thickBot="1">
      <c r="AM36" s="651" t="s">
        <v>525</v>
      </c>
      <c r="AN36" s="744">
        <f>SUM(AN24:AN35)</f>
        <v>7086571.5</v>
      </c>
      <c r="AO36" s="744">
        <f>SUM(AO24:AO35)</f>
        <v>558801</v>
      </c>
      <c r="AP36" s="742">
        <f>AO36/AN36</f>
        <v>7.8853504829521581E-2</v>
      </c>
      <c r="AQ36" s="744">
        <f>SUM(AQ24:AQ35)</f>
        <v>6527770.5</v>
      </c>
    </row>
    <row r="37" spans="39:43" ht="13.5" thickTop="1"/>
    <row r="38" spans="39:43">
      <c r="AM38" s="737" t="s">
        <v>648</v>
      </c>
      <c r="AN38" s="737" t="s">
        <v>628</v>
      </c>
      <c r="AO38" s="737" t="s">
        <v>629</v>
      </c>
      <c r="AP38" s="737" t="s">
        <v>630</v>
      </c>
      <c r="AQ38" s="737" t="s">
        <v>527</v>
      </c>
    </row>
    <row r="39" spans="39:43">
      <c r="AM39" s="740">
        <v>43770</v>
      </c>
      <c r="AN39" s="743">
        <f t="array" ref="AN39:AN50">TRANSPOSE(V6:AG6)</f>
        <v>609300</v>
      </c>
      <c r="AO39" s="743">
        <f t="array" ref="AO39:AO50">TRANSPOSE(V7:AG7)</f>
        <v>47256</v>
      </c>
      <c r="AP39" s="741">
        <f t="shared" ref="AP39:AP48" si="15">AO39/AN39</f>
        <v>7.7557853274249133E-2</v>
      </c>
      <c r="AQ39" s="743">
        <f t="shared" ref="AQ39:AQ50" si="16">AN39-AO39</f>
        <v>562044</v>
      </c>
    </row>
    <row r="40" spans="39:43">
      <c r="AM40" s="740">
        <v>43800</v>
      </c>
      <c r="AN40" s="743">
        <v>662242</v>
      </c>
      <c r="AO40" s="743">
        <v>49078</v>
      </c>
      <c r="AP40" s="741">
        <f t="shared" si="15"/>
        <v>7.4108860507186194E-2</v>
      </c>
      <c r="AQ40" s="743">
        <f t="shared" si="16"/>
        <v>613164</v>
      </c>
    </row>
    <row r="41" spans="39:43">
      <c r="AM41" s="740">
        <v>43831</v>
      </c>
      <c r="AN41" s="743">
        <v>766036</v>
      </c>
      <c r="AO41" s="743">
        <v>50927</v>
      </c>
      <c r="AP41" s="741">
        <f t="shared" si="15"/>
        <v>6.6481209760376803E-2</v>
      </c>
      <c r="AQ41" s="743">
        <f t="shared" si="16"/>
        <v>715109</v>
      </c>
    </row>
    <row r="42" spans="39:43">
      <c r="AM42" s="740">
        <v>43862</v>
      </c>
      <c r="AN42" s="743">
        <v>606689</v>
      </c>
      <c r="AO42" s="743">
        <v>45951</v>
      </c>
      <c r="AP42" s="741">
        <f t="shared" si="15"/>
        <v>7.5740618339874305E-2</v>
      </c>
      <c r="AQ42" s="743">
        <f t="shared" si="16"/>
        <v>560738</v>
      </c>
    </row>
    <row r="43" spans="39:43">
      <c r="AM43" s="740">
        <v>43891</v>
      </c>
      <c r="AN43" s="743">
        <v>520932</v>
      </c>
      <c r="AO43" s="743">
        <v>48372</v>
      </c>
      <c r="AP43" s="741">
        <f t="shared" si="15"/>
        <v>9.285664923636866E-2</v>
      </c>
      <c r="AQ43" s="743">
        <f t="shared" si="16"/>
        <v>472560</v>
      </c>
    </row>
    <row r="44" spans="39:43">
      <c r="AM44" s="740">
        <v>43922</v>
      </c>
      <c r="AN44" s="743">
        <v>362109.5</v>
      </c>
      <c r="AO44" s="743">
        <v>40163</v>
      </c>
      <c r="AP44" s="741">
        <f t="shared" si="15"/>
        <v>0.11091396387004483</v>
      </c>
      <c r="AQ44" s="743">
        <f t="shared" si="16"/>
        <v>321946.5</v>
      </c>
    </row>
    <row r="45" spans="39:43">
      <c r="AM45" s="740">
        <v>43952</v>
      </c>
      <c r="AN45" s="743">
        <v>369881</v>
      </c>
      <c r="AO45" s="743">
        <v>39115</v>
      </c>
      <c r="AP45" s="741">
        <f t="shared" si="15"/>
        <v>0.10575022777596038</v>
      </c>
      <c r="AQ45" s="743">
        <f t="shared" si="16"/>
        <v>330766</v>
      </c>
    </row>
    <row r="46" spans="39:43">
      <c r="AM46" s="740">
        <v>43983</v>
      </c>
      <c r="AN46" s="743">
        <v>444921.5</v>
      </c>
      <c r="AO46" s="743">
        <v>43374</v>
      </c>
      <c r="AP46" s="741">
        <f t="shared" si="15"/>
        <v>9.7486860041602841E-2</v>
      </c>
      <c r="AQ46" s="743">
        <f t="shared" si="16"/>
        <v>401547.5</v>
      </c>
    </row>
    <row r="47" spans="39:43">
      <c r="AM47" s="740">
        <v>44013</v>
      </c>
      <c r="AN47" s="743">
        <v>544752.5</v>
      </c>
      <c r="AO47" s="743">
        <v>47480</v>
      </c>
      <c r="AP47" s="741">
        <f t="shared" si="15"/>
        <v>8.7158847366464592E-2</v>
      </c>
      <c r="AQ47" s="743">
        <f t="shared" si="16"/>
        <v>497272.5</v>
      </c>
    </row>
    <row r="48" spans="39:43">
      <c r="AM48" s="740">
        <v>44044</v>
      </c>
      <c r="AN48" s="743">
        <v>583838</v>
      </c>
      <c r="AO48" s="743">
        <v>49614</v>
      </c>
      <c r="AP48" s="741">
        <f t="shared" si="15"/>
        <v>8.4979052408373557E-2</v>
      </c>
      <c r="AQ48" s="743">
        <f t="shared" si="16"/>
        <v>534224</v>
      </c>
    </row>
    <row r="49" spans="39:43">
      <c r="AM49" s="740">
        <v>44075</v>
      </c>
      <c r="AN49" s="743">
        <v>646151.5</v>
      </c>
      <c r="AO49" s="743">
        <v>50431</v>
      </c>
      <c r="AP49" s="743">
        <v>0</v>
      </c>
      <c r="AQ49" s="743">
        <f t="shared" si="16"/>
        <v>595720.5</v>
      </c>
    </row>
    <row r="50" spans="39:43">
      <c r="AM50" s="740">
        <v>44105</v>
      </c>
      <c r="AN50" s="743">
        <v>709941</v>
      </c>
      <c r="AO50" s="743">
        <v>52832</v>
      </c>
      <c r="AP50" s="743">
        <v>0</v>
      </c>
      <c r="AQ50" s="743">
        <f t="shared" si="16"/>
        <v>657109</v>
      </c>
    </row>
    <row r="51" spans="39:43" ht="13.5" thickBot="1">
      <c r="AM51" s="651" t="s">
        <v>525</v>
      </c>
      <c r="AN51" s="744">
        <f>SUM(AN39:AN50)</f>
        <v>6826794</v>
      </c>
      <c r="AO51" s="744">
        <f>SUM(AO39:AO50)</f>
        <v>564593</v>
      </c>
      <c r="AP51" s="742">
        <f>AO51/AN51</f>
        <v>8.2702510138726898E-2</v>
      </c>
      <c r="AQ51" s="744">
        <f>SUM(AQ39:AQ50)</f>
        <v>6262201</v>
      </c>
    </row>
    <row r="52" spans="39:43" ht="13.5" thickTop="1"/>
    <row r="53" spans="39:43">
      <c r="AM53" s="737" t="s">
        <v>675</v>
      </c>
      <c r="AN53" s="737" t="s">
        <v>628</v>
      </c>
      <c r="AO53" s="737" t="s">
        <v>629</v>
      </c>
      <c r="AP53" s="737" t="s">
        <v>630</v>
      </c>
      <c r="AQ53" s="737" t="s">
        <v>527</v>
      </c>
    </row>
    <row r="54" spans="39:43">
      <c r="AM54" s="740">
        <v>44136</v>
      </c>
      <c r="AN54" s="743">
        <f>AH6</f>
        <v>675346</v>
      </c>
      <c r="AO54" s="743">
        <f>AH7</f>
        <v>52061</v>
      </c>
      <c r="AP54" s="741">
        <f t="shared" ref="AP54:AP65" si="17">AO54/AN54</f>
        <v>7.708789272461819E-2</v>
      </c>
      <c r="AQ54" s="743">
        <f t="shared" ref="AQ54:AQ65" si="18">AN54-AO54</f>
        <v>623285</v>
      </c>
    </row>
    <row r="55" spans="39:43">
      <c r="AM55" s="740">
        <v>44166</v>
      </c>
      <c r="AN55" s="743">
        <f>AI6</f>
        <v>734000</v>
      </c>
      <c r="AO55" s="743">
        <f>AI7</f>
        <v>54179</v>
      </c>
      <c r="AP55" s="741">
        <f t="shared" si="17"/>
        <v>7.3813351498637603E-2</v>
      </c>
      <c r="AQ55" s="743">
        <f t="shared" si="18"/>
        <v>679821</v>
      </c>
    </row>
    <row r="56" spans="39:43">
      <c r="AM56" s="740">
        <v>44197</v>
      </c>
      <c r="AN56" s="743">
        <f>AJ6</f>
        <v>764607</v>
      </c>
      <c r="AO56" s="743">
        <f>AJ7</f>
        <v>54679</v>
      </c>
      <c r="AP56" s="741">
        <f t="shared" si="17"/>
        <v>7.1512554815741938E-2</v>
      </c>
      <c r="AQ56" s="743">
        <f t="shared" si="18"/>
        <v>709928</v>
      </c>
    </row>
    <row r="57" spans="39:43">
      <c r="AM57" s="740">
        <v>44228</v>
      </c>
      <c r="AN57" s="743">
        <f>AK6</f>
        <v>610062</v>
      </c>
      <c r="AO57" s="743">
        <f>AK7</f>
        <v>48004</v>
      </c>
      <c r="AP57" s="741">
        <f t="shared" si="17"/>
        <v>7.8687084263566659E-2</v>
      </c>
      <c r="AQ57" s="743">
        <f t="shared" si="18"/>
        <v>562058</v>
      </c>
    </row>
    <row r="58" spans="39:43">
      <c r="AM58" s="740">
        <v>44256</v>
      </c>
      <c r="AN58" s="743">
        <f>AL6</f>
        <v>570940</v>
      </c>
      <c r="AO58" s="743">
        <f>AL7</f>
        <v>50926</v>
      </c>
      <c r="AP58" s="741">
        <f t="shared" si="17"/>
        <v>8.9196763232563842E-2</v>
      </c>
      <c r="AQ58" s="743">
        <f t="shared" si="18"/>
        <v>520014</v>
      </c>
    </row>
    <row r="59" spans="39:43">
      <c r="AM59" s="740">
        <v>44287</v>
      </c>
      <c r="AN59" s="743">
        <f>AM6</f>
        <v>553319</v>
      </c>
      <c r="AO59" s="743">
        <f>AM7</f>
        <v>44223</v>
      </c>
      <c r="AP59" s="741">
        <f t="shared" si="17"/>
        <v>7.9923154635933344E-2</v>
      </c>
      <c r="AQ59" s="743">
        <f t="shared" si="18"/>
        <v>509096</v>
      </c>
    </row>
    <row r="60" spans="39:43">
      <c r="AM60" s="740">
        <v>44317</v>
      </c>
      <c r="AN60" s="743">
        <f>AN6</f>
        <v>564938</v>
      </c>
      <c r="AO60" s="743">
        <f>AN7</f>
        <v>44742</v>
      </c>
      <c r="AP60" s="741">
        <f t="shared" si="17"/>
        <v>7.9198071292779032E-2</v>
      </c>
      <c r="AQ60" s="743">
        <f t="shared" si="18"/>
        <v>520196</v>
      </c>
    </row>
    <row r="61" spans="39:43">
      <c r="AM61" s="740">
        <v>44348</v>
      </c>
      <c r="AN61" s="743">
        <f>AO6</f>
        <v>600292</v>
      </c>
      <c r="AO61" s="743">
        <f>AO7</f>
        <v>50414</v>
      </c>
      <c r="AP61" s="741">
        <f t="shared" si="17"/>
        <v>8.3982461868557304E-2</v>
      </c>
      <c r="AQ61" s="743">
        <f t="shared" si="18"/>
        <v>549878</v>
      </c>
    </row>
    <row r="62" spans="39:43">
      <c r="AM62" s="740">
        <v>44378</v>
      </c>
      <c r="AN62" s="743">
        <f>AP6</f>
        <v>673637</v>
      </c>
      <c r="AO62" s="743">
        <f>AP7</f>
        <v>59191</v>
      </c>
      <c r="AP62" s="741">
        <f t="shared" si="17"/>
        <v>8.7867798235548231E-2</v>
      </c>
      <c r="AQ62" s="743">
        <f t="shared" si="18"/>
        <v>614446</v>
      </c>
    </row>
    <row r="63" spans="39:43">
      <c r="AM63" s="740">
        <v>44409</v>
      </c>
      <c r="AN63" s="743">
        <f>AQ6</f>
        <v>664017</v>
      </c>
      <c r="AO63" s="743">
        <f>AQ7</f>
        <v>60586</v>
      </c>
      <c r="AP63" s="741">
        <f t="shared" si="17"/>
        <v>9.1241639897773702E-2</v>
      </c>
      <c r="AQ63" s="743">
        <f t="shared" si="18"/>
        <v>603431</v>
      </c>
    </row>
    <row r="64" spans="39:43">
      <c r="AM64" s="740">
        <v>44440</v>
      </c>
      <c r="AN64" s="743">
        <f>AR6</f>
        <v>701718</v>
      </c>
      <c r="AO64" s="743">
        <f>AR7</f>
        <v>55707</v>
      </c>
      <c r="AP64" s="741">
        <f t="shared" si="17"/>
        <v>7.9386591194753442E-2</v>
      </c>
      <c r="AQ64" s="743">
        <f t="shared" si="18"/>
        <v>646011</v>
      </c>
    </row>
    <row r="65" spans="39:43">
      <c r="AM65" s="740">
        <v>44470</v>
      </c>
      <c r="AN65" s="743">
        <f>AS6</f>
        <v>727081</v>
      </c>
      <c r="AO65" s="743">
        <f>AS7</f>
        <v>54533</v>
      </c>
      <c r="AP65" s="741">
        <f t="shared" si="17"/>
        <v>7.500264757296643E-2</v>
      </c>
      <c r="AQ65" s="743">
        <f t="shared" si="18"/>
        <v>672548</v>
      </c>
    </row>
    <row r="66" spans="39:43" ht="13.5" thickBot="1">
      <c r="AM66" s="651" t="s">
        <v>525</v>
      </c>
      <c r="AN66" s="744">
        <f>SUM(AN54:AN65)</f>
        <v>7839957</v>
      </c>
      <c r="AO66" s="744">
        <f>SUM(AO54:AO65)</f>
        <v>629245</v>
      </c>
      <c r="AP66" s="742">
        <f>AO66/AN66</f>
        <v>8.0261282045296936E-2</v>
      </c>
      <c r="AQ66" s="744">
        <f>SUM(AQ54:AQ65)</f>
        <v>7210712</v>
      </c>
    </row>
    <row r="67" spans="39:43" ht="13.5" thickTop="1"/>
  </sheetData>
  <pageMargins left="0.511811024" right="0.511811024" top="0.78740157499999996" bottom="0.78740157499999996" header="0.31496062000000002" footer="0.31496062000000002"/>
  <pageSetup paperSize="9" orientation="portrait" r:id="rId1"/>
  <ignoredErrors>
    <ignoredError sqref="AP51 AP36 AP21" formula="1"/>
  </ignoredError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BC8289-0AA0-481C-9666-F4A59FCD5DE7}">
  <sheetPr codeName="Planilha27">
    <tabColor rgb="FF00B050"/>
  </sheetPr>
  <dimension ref="A2:C8"/>
  <sheetViews>
    <sheetView showGridLines="0" workbookViewId="0">
      <selection activeCell="F10" sqref="F10"/>
    </sheetView>
  </sheetViews>
  <sheetFormatPr defaultRowHeight="12.75"/>
  <cols>
    <col min="1" max="1" width="10.7109375" customWidth="1"/>
    <col min="2" max="3" width="15.28515625" customWidth="1"/>
  </cols>
  <sheetData>
    <row r="2" spans="1:3">
      <c r="B2" s="686" t="s">
        <v>649</v>
      </c>
      <c r="C2" s="686"/>
    </row>
    <row r="3" spans="1:3" s="689" customFormat="1">
      <c r="B3" s="690" t="s">
        <v>329</v>
      </c>
      <c r="C3" s="691">
        <v>6.4000000000000001E-2</v>
      </c>
    </row>
    <row r="4" spans="1:3">
      <c r="A4" s="687" t="s">
        <v>648</v>
      </c>
      <c r="B4" s="688">
        <v>0</v>
      </c>
      <c r="C4" s="688">
        <v>-0.10069097053118903</v>
      </c>
    </row>
    <row r="6" spans="1:3">
      <c r="A6" t="s">
        <v>506</v>
      </c>
      <c r="B6" s="96">
        <f>HLOOKUP('Painel de Controle'!D48,'Perda de Receita Covid19'!B3:C4,2,FALSE)</f>
        <v>0</v>
      </c>
    </row>
    <row r="8" spans="1:3">
      <c r="B8" s="692"/>
    </row>
  </sheetData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3"/>
  <dimension ref="A1:BC92"/>
  <sheetViews>
    <sheetView showGridLines="0" zoomScaleNormal="100" workbookViewId="0">
      <selection activeCell="G25" sqref="G25"/>
    </sheetView>
  </sheetViews>
  <sheetFormatPr defaultColWidth="9.140625" defaultRowHeight="12.75"/>
  <cols>
    <col min="1" max="1" width="4.42578125" style="181" customWidth="1"/>
    <col min="2" max="2" width="13.42578125" style="182" customWidth="1"/>
    <col min="3" max="3" width="11.5703125" style="182" customWidth="1"/>
    <col min="4" max="15" width="11.140625" style="182" customWidth="1"/>
    <col min="16" max="16" width="13.42578125" style="182" customWidth="1"/>
    <col min="17" max="17" width="11.140625" style="182" customWidth="1"/>
    <col min="18" max="18" width="10.42578125" style="182" bestFit="1" customWidth="1"/>
    <col min="19" max="24" width="11.140625" style="182" customWidth="1"/>
    <col min="25" max="28" width="9.42578125" style="182" customWidth="1"/>
    <col min="29" max="29" width="5.7109375" style="182" customWidth="1"/>
    <col min="30" max="34" width="9.42578125" style="182" customWidth="1"/>
    <col min="35" max="35" width="5.7109375" style="182" customWidth="1"/>
    <col min="36" max="37" width="9.42578125" style="182" customWidth="1"/>
    <col min="38" max="39" width="8.85546875" style="182" customWidth="1"/>
    <col min="40" max="40" width="6.140625" style="182" customWidth="1"/>
    <col min="41" max="41" width="7.140625" style="182" customWidth="1"/>
    <col min="42" max="42" width="5.28515625" style="182" customWidth="1"/>
    <col min="43" max="43" width="6" style="182" customWidth="1"/>
    <col min="44" max="45" width="8.85546875" style="182" customWidth="1"/>
    <col min="46" max="46" width="6.140625" style="182" customWidth="1"/>
    <col min="47" max="47" width="7.140625" style="182" customWidth="1"/>
    <col min="48" max="48" width="5.28515625" style="182" customWidth="1"/>
    <col min="49" max="49" width="6" style="182" customWidth="1"/>
    <col min="50" max="50" width="12.7109375" style="182" customWidth="1"/>
    <col min="51" max="51" width="9.42578125" style="182" bestFit="1" customWidth="1"/>
    <col min="52" max="52" width="13.85546875" style="182" customWidth="1"/>
    <col min="53" max="53" width="7.140625" style="182" bestFit="1" customWidth="1"/>
    <col min="54" max="54" width="5.28515625" style="182" bestFit="1" customWidth="1"/>
    <col min="55" max="55" width="18" style="182" customWidth="1"/>
    <col min="56" max="16384" width="9.140625" style="182"/>
  </cols>
  <sheetData>
    <row r="1" spans="1:24">
      <c r="B1" s="183" t="s">
        <v>428</v>
      </c>
    </row>
    <row r="2" spans="1:24" ht="8.4499999999999993" customHeight="1">
      <c r="B2" s="202"/>
    </row>
    <row r="3" spans="1:24">
      <c r="B3" s="882" t="s">
        <v>425</v>
      </c>
      <c r="C3" s="882" t="s">
        <v>415</v>
      </c>
      <c r="D3" s="885" t="s">
        <v>417</v>
      </c>
      <c r="E3" s="886"/>
      <c r="F3" s="886"/>
      <c r="G3" s="887"/>
      <c r="H3" s="885" t="s">
        <v>418</v>
      </c>
      <c r="I3" s="886"/>
      <c r="J3" s="886"/>
      <c r="K3" s="887"/>
      <c r="L3" s="885" t="s">
        <v>511</v>
      </c>
      <c r="M3" s="886"/>
      <c r="N3" s="886"/>
      <c r="O3" s="887"/>
      <c r="P3" s="882" t="s">
        <v>416</v>
      </c>
    </row>
    <row r="4" spans="1:24">
      <c r="B4" s="883"/>
      <c r="C4" s="883"/>
      <c r="D4" s="891" t="s">
        <v>402</v>
      </c>
      <c r="E4" s="888" t="s">
        <v>419</v>
      </c>
      <c r="F4" s="889"/>
      <c r="G4" s="890"/>
      <c r="H4" s="891" t="s">
        <v>402</v>
      </c>
      <c r="I4" s="888" t="s">
        <v>419</v>
      </c>
      <c r="J4" s="889"/>
      <c r="K4" s="890"/>
      <c r="L4" s="891" t="s">
        <v>402</v>
      </c>
      <c r="M4" s="888" t="s">
        <v>419</v>
      </c>
      <c r="N4" s="889"/>
      <c r="O4" s="890"/>
      <c r="P4" s="883"/>
    </row>
    <row r="5" spans="1:24" ht="14.25" customHeight="1">
      <c r="B5" s="884"/>
      <c r="C5" s="884"/>
      <c r="D5" s="892"/>
      <c r="E5" s="203" t="s">
        <v>421</v>
      </c>
      <c r="F5" s="203" t="s">
        <v>422</v>
      </c>
      <c r="G5" s="203" t="s">
        <v>423</v>
      </c>
      <c r="H5" s="892"/>
      <c r="I5" s="203" t="s">
        <v>421</v>
      </c>
      <c r="J5" s="203" t="s">
        <v>422</v>
      </c>
      <c r="K5" s="203" t="s">
        <v>423</v>
      </c>
      <c r="L5" s="892"/>
      <c r="M5" s="203" t="s">
        <v>421</v>
      </c>
      <c r="N5" s="203" t="s">
        <v>422</v>
      </c>
      <c r="O5" s="203" t="s">
        <v>423</v>
      </c>
      <c r="P5" s="884"/>
      <c r="R5" s="228" t="s">
        <v>349</v>
      </c>
      <c r="T5" s="228" t="s">
        <v>429</v>
      </c>
      <c r="U5" s="228" t="s">
        <v>429</v>
      </c>
    </row>
    <row r="6" spans="1:24" ht="14.25" customHeight="1">
      <c r="A6" s="182"/>
      <c r="T6" s="233" t="s">
        <v>422</v>
      </c>
      <c r="U6" s="233" t="s">
        <v>423</v>
      </c>
    </row>
    <row r="7" spans="1:24">
      <c r="A7" s="182"/>
      <c r="B7" s="218">
        <v>1</v>
      </c>
      <c r="C7" s="219" t="s">
        <v>420</v>
      </c>
      <c r="D7" s="220">
        <v>0</v>
      </c>
      <c r="E7" s="221">
        <f t="shared" ref="E7:E31" si="0">IF(F7&gt;0,(G7-F7+1),)</f>
        <v>366</v>
      </c>
      <c r="F7" s="234">
        <v>40851</v>
      </c>
      <c r="G7" s="234">
        <f>IF(J7=0,U7,J7-1)</f>
        <v>41216</v>
      </c>
      <c r="H7" s="216"/>
      <c r="I7" s="221">
        <f t="shared" ref="I7:I31" si="1">IF(J7&gt;0,(K7-J7)+1,)</f>
        <v>0</v>
      </c>
      <c r="J7" s="234"/>
      <c r="K7" s="215" t="str">
        <f>IF(J7&lt;&gt;0,U7,"")</f>
        <v/>
      </c>
      <c r="L7" s="471"/>
      <c r="M7" s="471"/>
      <c r="N7" s="471"/>
      <c r="O7" s="471"/>
      <c r="P7" s="222">
        <f>(D7*E7+H7*I7)/(E7+I7)</f>
        <v>0</v>
      </c>
      <c r="R7" s="231" t="b">
        <f>E7+I7=366</f>
        <v>1</v>
      </c>
      <c r="T7" s="229">
        <v>40851</v>
      </c>
      <c r="U7" s="229">
        <v>41216</v>
      </c>
    </row>
    <row r="8" spans="1:24">
      <c r="A8" s="182"/>
      <c r="B8" s="211">
        <v>2</v>
      </c>
      <c r="C8" s="212" t="s">
        <v>420</v>
      </c>
      <c r="D8" s="213">
        <v>0</v>
      </c>
      <c r="E8" s="214">
        <f t="shared" si="0"/>
        <v>365</v>
      </c>
      <c r="F8" s="235">
        <v>41217</v>
      </c>
      <c r="G8" s="234">
        <f t="shared" ref="G8:G41" si="2">IF(J8=0,U8,J8-1)</f>
        <v>41581</v>
      </c>
      <c r="H8" s="216">
        <v>0</v>
      </c>
      <c r="I8" s="214">
        <f t="shared" si="1"/>
        <v>0</v>
      </c>
      <c r="J8" s="234">
        <v>0</v>
      </c>
      <c r="K8" s="215" t="str">
        <f>IF(J8&lt;&gt;0,U8,"")</f>
        <v/>
      </c>
      <c r="L8" s="472"/>
      <c r="M8" s="472"/>
      <c r="N8" s="472"/>
      <c r="O8" s="472"/>
      <c r="P8" s="223">
        <f t="shared" ref="P8:P11" si="3">(D8*E8+H8*I8)/(E8+I8)</f>
        <v>0</v>
      </c>
      <c r="R8" s="232" t="b">
        <f>E8+I8=365</f>
        <v>1</v>
      </c>
      <c r="T8" s="229">
        <v>41217</v>
      </c>
      <c r="U8" s="229">
        <v>41581</v>
      </c>
    </row>
    <row r="9" spans="1:24">
      <c r="A9" s="182"/>
      <c r="B9" s="211">
        <v>3</v>
      </c>
      <c r="C9" s="212" t="s">
        <v>420</v>
      </c>
      <c r="D9" s="216">
        <f>IF(H8&gt;D8,H8,D8)</f>
        <v>0</v>
      </c>
      <c r="E9" s="214">
        <f t="shared" si="0"/>
        <v>61</v>
      </c>
      <c r="F9" s="235">
        <v>41582</v>
      </c>
      <c r="G9" s="234">
        <f t="shared" si="2"/>
        <v>41642</v>
      </c>
      <c r="H9" s="216">
        <v>4.60527978501145</v>
      </c>
      <c r="I9" s="214">
        <f>IF(J9&gt;0,(K9-J9)+1,)</f>
        <v>304</v>
      </c>
      <c r="J9" s="234">
        <v>41643</v>
      </c>
      <c r="K9" s="235">
        <f>IF(J9&lt;&gt;0,U9,"")</f>
        <v>41946</v>
      </c>
      <c r="L9" s="473"/>
      <c r="M9" s="473"/>
      <c r="N9" s="473">
        <f>IF(AND('Painel de Controle'!$D$12&gt;QD0!T9,'Painel de Controle'!$D$12&lt;QD0!U9),'Painel de Controle'!$D$12,IF(AND('Painel de Controle'!$D$14&gt;QD0!T9,'Painel de Controle'!$D$14&lt;QD0!U9),'Painel de Controle'!$D$14+1,0))</f>
        <v>0</v>
      </c>
      <c r="O9" s="473"/>
      <c r="P9" s="335">
        <f>(D9*E9+H9*I9)/(E9+I9)</f>
        <v>3.8356302866944683</v>
      </c>
      <c r="Q9" s="560"/>
      <c r="R9" s="232" t="b">
        <f>E9+I9=365</f>
        <v>1</v>
      </c>
      <c r="T9" s="229">
        <v>41582</v>
      </c>
      <c r="U9" s="229">
        <v>41946</v>
      </c>
    </row>
    <row r="10" spans="1:24">
      <c r="A10" s="182"/>
      <c r="B10" s="211">
        <v>4</v>
      </c>
      <c r="C10" s="212" t="s">
        <v>420</v>
      </c>
      <c r="D10" s="216">
        <f>IF(H9=0,D9,IF(H9&lt;&gt;D9,H9,D9))</f>
        <v>4.60527978501145</v>
      </c>
      <c r="E10" s="214">
        <f t="shared" si="0"/>
        <v>365</v>
      </c>
      <c r="F10" s="235">
        <v>41947</v>
      </c>
      <c r="G10" s="234">
        <f t="shared" si="2"/>
        <v>42311</v>
      </c>
      <c r="H10" s="216">
        <f>IF(D10=IF(B10='Painel de Controle'!$D$11,'Painel de Controle'!$D$10,0),0,IF(B10='Painel de Controle'!$D$11,'Painel de Controle'!$D$10,0))</f>
        <v>0</v>
      </c>
      <c r="I10" s="214">
        <f>IF(J10&gt;0,(K10-J10)+1,)</f>
        <v>0</v>
      </c>
      <c r="J10" s="234">
        <f>IF(AND('Painel de Controle'!$D$14&gt;QD0!F10,'Painel de Controle'!$D$14&lt;QD0!U10),'Painel de Controle'!$D$14,)</f>
        <v>0</v>
      </c>
      <c r="K10" s="235" t="str">
        <f>IF(J10&lt;&gt;0,U10,"")</f>
        <v/>
      </c>
      <c r="L10" s="473"/>
      <c r="M10" s="473"/>
      <c r="N10" s="473">
        <f>IF(AND('Painel de Controle'!$D$12&gt;QD0!T10,'Painel de Controle'!$D$12&lt;QD0!U10),'Painel de Controle'!$D$12,IF(AND('Painel de Controle'!$D$14&gt;QD0!T10,'Painel de Controle'!$D$14&lt;QD0!U10),'Painel de Controle'!$D$14+1,0))</f>
        <v>0</v>
      </c>
      <c r="O10" s="473"/>
      <c r="P10" s="335">
        <f t="shared" si="3"/>
        <v>4.60527978501145</v>
      </c>
      <c r="Q10" s="560"/>
      <c r="R10" s="232" t="b">
        <f>E10+I10=365</f>
        <v>1</v>
      </c>
      <c r="T10" s="229">
        <v>41947</v>
      </c>
      <c r="U10" s="229">
        <v>42311</v>
      </c>
    </row>
    <row r="11" spans="1:24">
      <c r="A11" s="182"/>
      <c r="B11" s="211">
        <v>5</v>
      </c>
      <c r="C11" s="212" t="s">
        <v>424</v>
      </c>
      <c r="D11" s="216">
        <f t="shared" ref="D11:D41" si="4">IF(H10=0,D10,IF(H10&lt;&gt;D10,H10,D10))</f>
        <v>4.60527978501145</v>
      </c>
      <c r="E11" s="214">
        <f t="shared" si="0"/>
        <v>366</v>
      </c>
      <c r="F11" s="235">
        <v>42312</v>
      </c>
      <c r="G11" s="234">
        <f t="shared" si="2"/>
        <v>42677</v>
      </c>
      <c r="H11" s="216">
        <f>IF(D11=IF(B11='Painel de Controle'!$D$11,'Painel de Controle'!$D$10,0),0,IF(B11='Painel de Controle'!$D$11,'Painel de Controle'!$D$10,0))</f>
        <v>0</v>
      </c>
      <c r="I11" s="214">
        <f t="shared" si="1"/>
        <v>0</v>
      </c>
      <c r="J11" s="234">
        <f>IF(AND('Painel de Controle'!$D$14&gt;QD0!F11,'Painel de Controle'!$D$14&lt;QD0!U11),'Painel de Controle'!$D$14,)</f>
        <v>0</v>
      </c>
      <c r="K11" s="235" t="str">
        <f t="shared" ref="K11" si="5">IF(J11&lt;&gt;0,U11,"")</f>
        <v/>
      </c>
      <c r="L11" s="473"/>
      <c r="M11" s="473"/>
      <c r="N11" s="473">
        <f>IF(AND('Painel de Controle'!$D$12&gt;QD0!T11,'Painel de Controle'!$D$12&lt;QD0!U11),'Painel de Controle'!$D$12,IF(AND('Painel de Controle'!$D$14&gt;QD0!T11,'Painel de Controle'!$D$14&lt;QD0!U11),'Painel de Controle'!$D$14+1,0))</f>
        <v>0</v>
      </c>
      <c r="O11" s="473"/>
      <c r="P11" s="335">
        <f t="shared" si="3"/>
        <v>4.60527978501145</v>
      </c>
      <c r="Q11" s="560"/>
      <c r="R11" s="232" t="b">
        <f>E11+I11=366</f>
        <v>1</v>
      </c>
      <c r="T11" s="229">
        <v>42312</v>
      </c>
      <c r="U11" s="229">
        <v>42677</v>
      </c>
    </row>
    <row r="12" spans="1:24">
      <c r="A12" s="182"/>
      <c r="B12" s="211">
        <v>6</v>
      </c>
      <c r="C12" s="212" t="s">
        <v>424</v>
      </c>
      <c r="D12" s="216">
        <f t="shared" si="4"/>
        <v>4.60527978501145</v>
      </c>
      <c r="E12" s="214">
        <f t="shared" si="0"/>
        <v>365</v>
      </c>
      <c r="F12" s="235">
        <v>42678</v>
      </c>
      <c r="G12" s="234">
        <f t="shared" si="2"/>
        <v>43042</v>
      </c>
      <c r="H12" s="216">
        <f>IF(D12=IF(B12='Painel de Controle'!$D$11,'Painel de Controle'!$D$10,0),0,IF(B12='Painel de Controle'!$D$11,'Painel de Controle'!$D$10,0))</f>
        <v>0</v>
      </c>
      <c r="I12" s="214">
        <f t="shared" si="1"/>
        <v>0</v>
      </c>
      <c r="J12" s="234">
        <f>IF(AND('Painel de Controle'!$D$14&gt;QD0!F12,'Painel de Controle'!$D$14&lt;QD0!U12),'Painel de Controle'!$D$14,)</f>
        <v>0</v>
      </c>
      <c r="K12" s="235" t="str">
        <f>IF(J12&lt;&gt;0,U12,"")</f>
        <v/>
      </c>
      <c r="L12" s="473"/>
      <c r="M12" s="473"/>
      <c r="N12" s="473">
        <f>IF(AND('Painel de Controle'!$D$12&gt;QD0!T12,'Painel de Controle'!$D$12&lt;QD0!U12),'Painel de Controle'!$D$12,IF(AND('Painel de Controle'!$D$14&gt;QD0!T12,'Painel de Controle'!$D$14&lt;QD0!U12),'Painel de Controle'!$D$14+1,0))</f>
        <v>0</v>
      </c>
      <c r="O12" s="473"/>
      <c r="P12" s="335">
        <f>(D12*E12+H12*I12)/(E12+I12)</f>
        <v>4.60527978501145</v>
      </c>
      <c r="Q12" s="560"/>
      <c r="R12" s="232" t="b">
        <f>E12+I12=365</f>
        <v>1</v>
      </c>
      <c r="T12" s="229">
        <v>42678</v>
      </c>
      <c r="U12" s="229">
        <v>43042</v>
      </c>
    </row>
    <row r="13" spans="1:24">
      <c r="A13" s="333" t="str">
        <f>IF(AND(B13&gt;'Painel de Controle'!$D$11-1,QD0!B13&lt;'Painel de Controle'!$D$13+1),"Sim","")</f>
        <v/>
      </c>
      <c r="B13" s="211">
        <v>7</v>
      </c>
      <c r="C13" s="212" t="s">
        <v>424</v>
      </c>
      <c r="D13" s="216">
        <f>IF(H12=0,D12,IF(H12&lt;&gt;D12,H12,D12))</f>
        <v>4.60527978501145</v>
      </c>
      <c r="E13" s="330">
        <f>IF(F13&gt;0,(G13-F13+1),)</f>
        <v>61</v>
      </c>
      <c r="F13" s="331">
        <v>43043</v>
      </c>
      <c r="G13" s="332">
        <f>IF(J13=0,U13,J13-1)</f>
        <v>43103</v>
      </c>
      <c r="H13" s="216">
        <v>4.6595042189923408</v>
      </c>
      <c r="I13" s="214">
        <f t="shared" si="1"/>
        <v>304</v>
      </c>
      <c r="J13" s="234">
        <v>43104</v>
      </c>
      <c r="K13" s="235">
        <f>IF(AND(J13&lt;&gt;0,M13&lt;&gt;0),N13-1,IF(J13&lt;&gt;0,U13,""))</f>
        <v>43407</v>
      </c>
      <c r="L13" s="216">
        <f>IF(OR(AND(A13="",A14=""),AND(A13="Sim",A14=""),AND(A13="",A14="sim")),'Painel de Controle'!$H$7,'Painel de Controle'!$D$10)</f>
        <v>4.6595042189923408</v>
      </c>
      <c r="M13" s="214">
        <f>IF(N13&gt;0,(O13-N13)+1,)</f>
        <v>0</v>
      </c>
      <c r="N13" s="473">
        <f>IF(AND('Painel de Controle'!$D$12&gt;QD0!T13,'Painel de Controle'!$D$12&lt;QD0!U13),'Painel de Controle'!$D$12,IF(AND('Painel de Controle'!$D$14&gt;QD0!T13,'Painel de Controle'!$D$14&lt;QD0!U13),'Painel de Controle'!$D$14+1,0))</f>
        <v>0</v>
      </c>
      <c r="O13" s="473" t="str">
        <f>IF(N13&lt;&gt;0,U13,"")</f>
        <v/>
      </c>
      <c r="P13" s="335">
        <f>(D13*E13+H13*I13+L13*M13)/(E13+I13+M13)</f>
        <v>4.6504420533133422</v>
      </c>
      <c r="Q13" s="562"/>
      <c r="R13" s="232" t="b">
        <f>E13+I13+M13=365</f>
        <v>1</v>
      </c>
      <c r="T13" s="229">
        <v>43043</v>
      </c>
      <c r="U13" s="229">
        <v>43407</v>
      </c>
      <c r="V13" s="560"/>
      <c r="W13" s="561"/>
      <c r="X13" s="561"/>
    </row>
    <row r="14" spans="1:24">
      <c r="A14" s="333" t="str">
        <f>IF(AND(B14&gt;'Painel de Controle'!$D$11-1,QD0!B14&lt;'Painel de Controle'!$D$13+1),"Sim","")</f>
        <v/>
      </c>
      <c r="B14" s="211">
        <v>8</v>
      </c>
      <c r="C14" s="212" t="s">
        <v>424</v>
      </c>
      <c r="D14" s="216">
        <f>IF(L13=0,D13,IF(L13&lt;&gt;D13,L13,D13))</f>
        <v>4.6595042189923408</v>
      </c>
      <c r="E14" s="214">
        <f>IF(F14&gt;0,(G14-F14+1),)</f>
        <v>61</v>
      </c>
      <c r="F14" s="235">
        <v>43408</v>
      </c>
      <c r="G14" s="234">
        <f>IF(J14=0,U14,J14-1)</f>
        <v>43468</v>
      </c>
      <c r="H14" s="216">
        <f>IF(OR(AND(A14="",A15=""),AND(A14="Sim",A15=""),AND(A14="",A15="sim")),'Painel de Controle'!$H$8,'Painel de Controle'!$D$10)</f>
        <v>4.9375608950411713</v>
      </c>
      <c r="I14" s="214">
        <f>IF(J14&gt;0,(K14-J14)+1,)</f>
        <v>0</v>
      </c>
      <c r="J14" s="234">
        <v>43469</v>
      </c>
      <c r="K14" s="235">
        <f t="shared" ref="K14:K41" si="6">IF(AND(J14&lt;&gt;0,M14&lt;&gt;0),N14-1,IF(J14&lt;&gt;0,U14,""))</f>
        <v>43468</v>
      </c>
      <c r="L14" s="216">
        <f>IF(OR(AND(A14="",A15=""),AND(A14="Sim",A15=""),AND(A14="",A15="sim")),'Painel de Controle'!$H$8,'Painel de Controle'!$D$10)</f>
        <v>4.9375608950411713</v>
      </c>
      <c r="M14" s="214">
        <v>304</v>
      </c>
      <c r="N14" s="473">
        <v>43469</v>
      </c>
      <c r="O14" s="473">
        <v>43772</v>
      </c>
      <c r="P14" s="335">
        <f>(D14*E14+H14*I14+L14*M14)/(E14+I14+M14)</f>
        <v>4.8910911491809559</v>
      </c>
      <c r="Q14" s="562"/>
      <c r="R14" s="232" t="b">
        <f t="shared" ref="R14:R41" si="7">E14+I14+M14=365</f>
        <v>1</v>
      </c>
      <c r="T14" s="229">
        <v>43408</v>
      </c>
      <c r="U14" s="229">
        <v>43772</v>
      </c>
    </row>
    <row r="15" spans="1:24">
      <c r="A15" s="333" t="str">
        <f>IF(AND(B15&gt;'Painel de Controle'!$D$11-1,QD0!B15&lt;'Painel de Controle'!$D$13+1),"Sim","")</f>
        <v/>
      </c>
      <c r="B15" s="211">
        <v>9</v>
      </c>
      <c r="C15" s="212" t="s">
        <v>424</v>
      </c>
      <c r="D15" s="216">
        <f>IF(H14=0,D14,IF(H14&lt;&gt;D14,H14,D14))</f>
        <v>4.9375608950411713</v>
      </c>
      <c r="E15" s="214">
        <f t="shared" si="0"/>
        <v>366</v>
      </c>
      <c r="F15" s="235">
        <v>43773</v>
      </c>
      <c r="G15" s="234">
        <f t="shared" si="2"/>
        <v>44138</v>
      </c>
      <c r="H15" s="216">
        <f>IF(OR(AND(A15="",A16=""),AND(A15="Sim",A16=""),AND(A15="",A16="sim")),'Painel de Controle'!$H$8,'Painel de Controle'!$D$10)</f>
        <v>4.9375608950411713</v>
      </c>
      <c r="I15" s="214">
        <f t="shared" si="1"/>
        <v>0</v>
      </c>
      <c r="J15" s="234">
        <f>IF(AND('Painel de Controle'!$D$12&gt;QD0!T15,'Painel de Controle'!$D$12&lt;QD0!U15),'Painel de Controle'!$D$12,IF(AND('Painel de Controle'!$D$14&gt;QD0!T15,'Painel de Controle'!$D$14&lt;QD0!U15),'Painel de Controle'!$D$14+1,0))</f>
        <v>0</v>
      </c>
      <c r="K15" s="235" t="str">
        <f t="shared" si="6"/>
        <v/>
      </c>
      <c r="L15" s="216">
        <f>IF(OR(AND(A15="",A16=""),AND(A15="Sim",A16=""),AND(A15="",A16="sim")),'Painel de Controle'!$H$8,'Painel de Controle'!$D$10)</f>
        <v>4.9375608950411713</v>
      </c>
      <c r="M15" s="214">
        <f t="shared" ref="M15:M41" si="8">IF(N15&gt;0,(O15-N15)+1,)</f>
        <v>0</v>
      </c>
      <c r="N15" s="473">
        <f>IF(AND('Painel de Controle'!$D$12&gt;QD0!T15,'Painel de Controle'!$D$12&lt;QD0!U15),'Painel de Controle'!$D$12,IF(AND('Painel de Controle'!$D$14&gt;QD0!T15,'Painel de Controle'!$D$14&lt;QD0!U15),'Painel de Controle'!$D$14+1,0))</f>
        <v>0</v>
      </c>
      <c r="O15" s="473" t="str">
        <f t="shared" ref="O15:O41" si="9">IF(N15&lt;&gt;0,U15,"")</f>
        <v/>
      </c>
      <c r="P15" s="335">
        <f t="shared" ref="P15:P41" si="10">(D15*E15+H15*I15+L15*M15)/(E15+I15+M15)</f>
        <v>4.9375608950411713</v>
      </c>
      <c r="Q15" s="562"/>
      <c r="R15" s="232" t="b">
        <f>E15+I15+M15=366</f>
        <v>1</v>
      </c>
      <c r="T15" s="229">
        <v>43773</v>
      </c>
      <c r="U15" s="229">
        <v>44138</v>
      </c>
    </row>
    <row r="16" spans="1:24">
      <c r="A16" s="333" t="str">
        <f>IF(AND(B16&gt;'Painel de Controle'!$D$11-1,QD0!B16&lt;'Painel de Controle'!$D$13+1),"Sim","")</f>
        <v/>
      </c>
      <c r="B16" s="211">
        <v>10</v>
      </c>
      <c r="C16" s="212" t="s">
        <v>424</v>
      </c>
      <c r="D16" s="216">
        <f t="shared" si="4"/>
        <v>4.9375608950411713</v>
      </c>
      <c r="E16" s="214">
        <f t="shared" si="0"/>
        <v>365</v>
      </c>
      <c r="F16" s="235">
        <v>44139</v>
      </c>
      <c r="G16" s="234">
        <f t="shared" si="2"/>
        <v>44503</v>
      </c>
      <c r="H16" s="216">
        <f>IF(OR(AND(A16="",A17=""),AND(A16="Sim",A17=""),AND(A16="",A17="sim")),'Painel de Controle'!$H$8,'Painel de Controle'!$D$10)</f>
        <v>4.9375608950411713</v>
      </c>
      <c r="I16" s="214">
        <f t="shared" si="1"/>
        <v>0</v>
      </c>
      <c r="J16" s="234">
        <f>IF(AND('Painel de Controle'!$D$12&gt;QD0!T16,'Painel de Controle'!$D$12&lt;QD0!U16),'Painel de Controle'!$D$12,IF(AND('Painel de Controle'!$D$14&gt;QD0!T16,'Painel de Controle'!$D$14&lt;QD0!U16),'Painel de Controle'!$D$14+1,0))</f>
        <v>0</v>
      </c>
      <c r="K16" s="235" t="str">
        <f t="shared" si="6"/>
        <v/>
      </c>
      <c r="L16" s="216">
        <f>IF(OR(AND(A16="",A17=""),AND(A16="Sim",A17=""),AND(A16="",A17="sim")),'Painel de Controle'!$H$8,'Painel de Controle'!$D$10)</f>
        <v>4.9375608950411713</v>
      </c>
      <c r="M16" s="214">
        <f t="shared" si="8"/>
        <v>0</v>
      </c>
      <c r="N16" s="473">
        <f>IF(AND('Painel de Controle'!$D$12&gt;QD0!T16,'Painel de Controle'!$D$12&lt;QD0!U16),'Painel de Controle'!$D$12,IF(AND('Painel de Controle'!$D$14&gt;QD0!T16,'Painel de Controle'!$D$14&lt;QD0!U16),'Painel de Controle'!$D$14+1,0))</f>
        <v>0</v>
      </c>
      <c r="O16" s="473" t="str">
        <f t="shared" si="9"/>
        <v/>
      </c>
      <c r="P16" s="335">
        <f t="shared" si="10"/>
        <v>4.9375608950411713</v>
      </c>
      <c r="Q16" s="562"/>
      <c r="R16" s="232" t="b">
        <f t="shared" si="7"/>
        <v>1</v>
      </c>
      <c r="T16" s="229">
        <v>44139</v>
      </c>
      <c r="U16" s="229">
        <v>44503</v>
      </c>
    </row>
    <row r="17" spans="1:21">
      <c r="A17" s="333" t="str">
        <f>IF(AND(B17&gt;'Painel de Controle'!$D$11-1,QD0!B17&lt;'Painel de Controle'!$D$13+1),"Sim","")</f>
        <v/>
      </c>
      <c r="B17" s="211">
        <v>11</v>
      </c>
      <c r="C17" s="212" t="s">
        <v>424</v>
      </c>
      <c r="D17" s="216">
        <f t="shared" si="4"/>
        <v>4.9375608950411713</v>
      </c>
      <c r="E17" s="214">
        <f t="shared" si="0"/>
        <v>365</v>
      </c>
      <c r="F17" s="235">
        <v>44504</v>
      </c>
      <c r="G17" s="234">
        <f>IF(J17=0,U17,J17-1)</f>
        <v>44868</v>
      </c>
      <c r="H17" s="216">
        <f>IF(OR(AND(A17="",A18=""),AND(A17="Sim",A18=""),AND(A17="",A18="sim")),'Painel de Controle'!$H$8,'Painel de Controle'!$D$10)</f>
        <v>4.9375608950411713</v>
      </c>
      <c r="I17" s="214">
        <f>IF(J17&gt;0,(K17-J17)+1,)</f>
        <v>0</v>
      </c>
      <c r="J17" s="234">
        <f>IF(AND('Painel de Controle'!$D$12&gt;QD0!T17,'Painel de Controle'!$D$12&lt;QD0!U17),'Painel de Controle'!$D$12,IF(AND('Painel de Controle'!$D$14&gt;QD0!T17,'Painel de Controle'!$D$14&lt;QD0!U17),'Painel de Controle'!$D$14+1,0))</f>
        <v>0</v>
      </c>
      <c r="K17" s="235" t="str">
        <f t="shared" si="6"/>
        <v/>
      </c>
      <c r="L17" s="216">
        <f>IF(OR(AND(A17="",A18=""),AND(A17="Sim",A18=""),AND(A17="",A18="sim")),'Painel de Controle'!$H$8,'Painel de Controle'!$D$10)</f>
        <v>4.9375608950411713</v>
      </c>
      <c r="M17" s="214">
        <f t="shared" si="8"/>
        <v>0</v>
      </c>
      <c r="N17" s="473">
        <f>IF(AND('Painel de Controle'!$D$12&gt;QD0!T17,'Painel de Controle'!$D$12&lt;QD0!U17),'Painel de Controle'!$D$12,IF(AND('Painel de Controle'!$D$14&gt;QD0!T17,'Painel de Controle'!$D$14&lt;QD0!U17),'Painel de Controle'!$D$14+1,0))</f>
        <v>0</v>
      </c>
      <c r="O17" s="473" t="str">
        <f t="shared" si="9"/>
        <v/>
      </c>
      <c r="P17" s="335">
        <f t="shared" si="10"/>
        <v>4.9375608950411713</v>
      </c>
      <c r="Q17" s="562"/>
      <c r="R17" s="232" t="b">
        <f t="shared" si="7"/>
        <v>1</v>
      </c>
      <c r="T17" s="229">
        <v>44504</v>
      </c>
      <c r="U17" s="229">
        <v>44868</v>
      </c>
    </row>
    <row r="18" spans="1:21">
      <c r="A18" s="333" t="str">
        <f>IF(AND(B18&gt;'Painel de Controle'!$D$11-1,QD0!B18&lt;'Painel de Controle'!$D$13+1),"Sim","")</f>
        <v/>
      </c>
      <c r="B18" s="211">
        <v>12</v>
      </c>
      <c r="C18" s="212" t="s">
        <v>424</v>
      </c>
      <c r="D18" s="216">
        <f>IF(H17=0,D17,IF(H17&lt;&gt;D17,H17,D17))</f>
        <v>4.9375608950411713</v>
      </c>
      <c r="E18" s="214">
        <f t="shared" si="0"/>
        <v>365</v>
      </c>
      <c r="F18" s="235">
        <v>44869</v>
      </c>
      <c r="G18" s="234">
        <f t="shared" si="2"/>
        <v>45233</v>
      </c>
      <c r="H18" s="216">
        <f>IF(OR(AND(A18="",A19=""),AND(A18="Sim",A19=""),AND(A18="",A19="sim")),'Painel de Controle'!$H$8,'Painel de Controle'!$D$10)</f>
        <v>4.9375608950411713</v>
      </c>
      <c r="I18" s="214">
        <f t="shared" si="1"/>
        <v>0</v>
      </c>
      <c r="J18" s="234">
        <f>IF(AND('Painel de Controle'!$D$12&gt;QD0!T18,'Painel de Controle'!$D$12&lt;QD0!U18),'Painel de Controle'!$D$12,IF(AND('Painel de Controle'!$D$14&gt;QD0!T18,'Painel de Controle'!$D$14&lt;QD0!U18),'Painel de Controle'!$D$14+1,0))</f>
        <v>0</v>
      </c>
      <c r="K18" s="235" t="str">
        <f t="shared" si="6"/>
        <v/>
      </c>
      <c r="L18" s="216">
        <f>IF(OR(AND(A18="",A19=""),AND(A18="Sim",A19=""),AND(A18="",A19="sim")),'Painel de Controle'!$H$8,'Painel de Controle'!$D$10)</f>
        <v>4.9375608950411713</v>
      </c>
      <c r="M18" s="214">
        <f t="shared" si="8"/>
        <v>0</v>
      </c>
      <c r="N18" s="473">
        <f>IF(AND('Painel de Controle'!$D$12&gt;QD0!T18,'Painel de Controle'!$D$12&lt;QD0!U18),'Painel de Controle'!$D$12,IF(AND('Painel de Controle'!$D$14&gt;QD0!T18,'Painel de Controle'!$D$14&lt;QD0!U18),'Painel de Controle'!$D$14+1,0))</f>
        <v>0</v>
      </c>
      <c r="O18" s="473" t="str">
        <f t="shared" si="9"/>
        <v/>
      </c>
      <c r="P18" s="335">
        <f t="shared" si="10"/>
        <v>4.9375608950411713</v>
      </c>
      <c r="Q18" s="562"/>
      <c r="R18" s="232" t="b">
        <f t="shared" si="7"/>
        <v>1</v>
      </c>
      <c r="T18" s="229">
        <v>44869</v>
      </c>
      <c r="U18" s="229">
        <v>45233</v>
      </c>
    </row>
    <row r="19" spans="1:21">
      <c r="A19" s="333" t="str">
        <f>IF(AND(B19&gt;'Painel de Controle'!$D$11-1,QD0!B19&lt;'Painel de Controle'!$D$13+1),"Sim","")</f>
        <v/>
      </c>
      <c r="B19" s="211">
        <v>13</v>
      </c>
      <c r="C19" s="212" t="s">
        <v>424</v>
      </c>
      <c r="D19" s="216">
        <f>IF(H18=0,D18,IF(H18&lt;&gt;D18,H18,D18))</f>
        <v>4.9375608950411713</v>
      </c>
      <c r="E19" s="214">
        <f t="shared" si="0"/>
        <v>61</v>
      </c>
      <c r="F19" s="235">
        <v>45234</v>
      </c>
      <c r="G19" s="234">
        <f>IF(J19=0,U19,J19-1)</f>
        <v>45294</v>
      </c>
      <c r="H19" s="216">
        <f>IF(OR(AND(A19="",A20=""),AND(A19="Sim",A20=""),AND(A19="",A20="sim")),'Painel de Controle'!$H$9,'Painel de Controle'!$D$10)</f>
        <v>4.9404507850518078</v>
      </c>
      <c r="I19" s="214">
        <f t="shared" si="1"/>
        <v>0</v>
      </c>
      <c r="J19" s="234">
        <f>IF(AND('Painel de Controle'!$D$12&gt;QD0!T19,'Painel de Controle'!$D$12&lt;QD0!U19),'Painel de Controle'!$D$12,IF(AND('Painel de Controle'!$D$14&gt;QD0!T19,'Painel de Controle'!$D$14&lt;QD0!U19),'Painel de Controle'!$D$14+1,0))</f>
        <v>45295</v>
      </c>
      <c r="K19" s="235">
        <f t="shared" si="6"/>
        <v>45294</v>
      </c>
      <c r="L19" s="216">
        <f>IF(OR(AND(A19="",A20=""),AND(A19="Sim",A20=""),AND(A19="",A20="sim")),'Painel de Controle'!$H$9,'Painel de Controle'!$D$10)</f>
        <v>4.9404507850518078</v>
      </c>
      <c r="M19" s="214">
        <f t="shared" si="8"/>
        <v>305</v>
      </c>
      <c r="N19" s="473">
        <f>IF(AND('Painel de Controle'!$D$12&gt;QD0!T19,'Painel de Controle'!$D$12&lt;QD0!U19),'Painel de Controle'!$D$12,IF(AND('Painel de Controle'!$D$14&gt;QD0!T19,'Painel de Controle'!$D$14&lt;QD0!U19),'Painel de Controle'!$D$14+1,0))</f>
        <v>45295</v>
      </c>
      <c r="O19" s="473">
        <f t="shared" si="9"/>
        <v>45599</v>
      </c>
      <c r="P19" s="335">
        <f t="shared" si="10"/>
        <v>4.9399691367167016</v>
      </c>
      <c r="Q19" s="562"/>
      <c r="R19" s="232" t="b">
        <f>E19+I19+M19=366</f>
        <v>1</v>
      </c>
      <c r="T19" s="229">
        <v>45234</v>
      </c>
      <c r="U19" s="229">
        <v>45599</v>
      </c>
    </row>
    <row r="20" spans="1:21">
      <c r="A20" s="333" t="str">
        <f>IF(AND(B20&gt;'Painel de Controle'!$D$11-1,QD0!B20&lt;'Painel de Controle'!$D$13+1),"Sim","")</f>
        <v>Sim</v>
      </c>
      <c r="B20" s="211">
        <v>14</v>
      </c>
      <c r="C20" s="212" t="s">
        <v>424</v>
      </c>
      <c r="D20" s="216">
        <f>IF(H19=0,D19,IF(H19&lt;&gt;D19,H19,D19))</f>
        <v>4.9404507850518078</v>
      </c>
      <c r="E20" s="214">
        <f t="shared" si="0"/>
        <v>365</v>
      </c>
      <c r="F20" s="235">
        <v>45600</v>
      </c>
      <c r="G20" s="234">
        <f>IF(J20=0,U20,J20-1)</f>
        <v>45964</v>
      </c>
      <c r="H20" s="216">
        <f>IF(OR(AND(A20="",A21=""),AND(A20="Sim",A21=""),AND(A20="",A21="sim")),'Painel de Controle'!$H$8,'Painel de Controle'!$D$10)</f>
        <v>4.7525160660998287</v>
      </c>
      <c r="I20" s="214">
        <f t="shared" si="1"/>
        <v>0</v>
      </c>
      <c r="J20" s="234">
        <f>IF(AND('Painel de Controle'!$D$12&gt;QD0!T20,'Painel de Controle'!$D$12&lt;QD0!U20),'Painel de Controle'!$D$12,IF(AND('Painel de Controle'!$D$14&gt;QD0!T20,'Painel de Controle'!$D$14&lt;QD0!U20),'Painel de Controle'!$D$14+1,0))</f>
        <v>0</v>
      </c>
      <c r="K20" s="235" t="str">
        <f t="shared" si="6"/>
        <v/>
      </c>
      <c r="L20" s="216">
        <f>IF(OR(AND(A20="",A21=""),AND(A20="Sim",A21=""),AND(A20="",A21="sim")),'Painel de Controle'!$H$8,'Painel de Controle'!$D$10)</f>
        <v>4.7525160660998287</v>
      </c>
      <c r="M20" s="214">
        <f t="shared" si="8"/>
        <v>0</v>
      </c>
      <c r="N20" s="473">
        <f>IF(AND('Painel de Controle'!$D$12&gt;QD0!T20,'Painel de Controle'!$D$12&lt;QD0!U20),'Painel de Controle'!$D$12,IF(AND('Painel de Controle'!$D$14&gt;QD0!T20,'Painel de Controle'!$D$14&lt;QD0!U20),'Painel de Controle'!$D$14+1,0))</f>
        <v>0</v>
      </c>
      <c r="O20" s="473" t="str">
        <f t="shared" si="9"/>
        <v/>
      </c>
      <c r="P20" s="335">
        <f t="shared" si="10"/>
        <v>4.9404507850518078</v>
      </c>
      <c r="R20" s="232" t="b">
        <f t="shared" si="7"/>
        <v>1</v>
      </c>
      <c r="T20" s="229">
        <v>45600</v>
      </c>
      <c r="U20" s="229">
        <v>45964</v>
      </c>
    </row>
    <row r="21" spans="1:21">
      <c r="A21" s="333" t="str">
        <f>IF(AND(B21&gt;'Painel de Controle'!$D$11-1,QD0!B21&lt;'Painel de Controle'!$D$13+1),"Sim","")</f>
        <v>Sim</v>
      </c>
      <c r="B21" s="211">
        <v>15</v>
      </c>
      <c r="C21" s="212" t="s">
        <v>424</v>
      </c>
      <c r="D21" s="216">
        <f>IF(H20=0,D20,IF(H20&lt;&gt;D20,H20,D20))</f>
        <v>4.7525160660998287</v>
      </c>
      <c r="E21" s="214">
        <f t="shared" si="0"/>
        <v>365</v>
      </c>
      <c r="F21" s="235">
        <v>45965</v>
      </c>
      <c r="G21" s="234">
        <f t="shared" si="2"/>
        <v>46329</v>
      </c>
      <c r="H21" s="216">
        <f>IF(OR(AND(A21="",A22=""),AND(A21="Sim",A22=""),AND(A21="",A22="sim")),'Painel de Controle'!$H$8,'Painel de Controle'!$D$10)</f>
        <v>4.7525160660998287</v>
      </c>
      <c r="I21" s="214">
        <f t="shared" si="1"/>
        <v>0</v>
      </c>
      <c r="J21" s="234">
        <f>IF(AND('Painel de Controle'!$D$12&gt;QD0!T21,'Painel de Controle'!$D$12&lt;QD0!U21),'Painel de Controle'!$D$12,IF(AND('Painel de Controle'!$D$14&gt;QD0!T21,'Painel de Controle'!$D$14&lt;QD0!U21),'Painel de Controle'!$D$14+1,0))</f>
        <v>0</v>
      </c>
      <c r="K21" s="235" t="str">
        <f t="shared" si="6"/>
        <v/>
      </c>
      <c r="L21" s="216">
        <f>IF(OR(AND(A21="",A22=""),AND(A21="Sim",A22=""),AND(A21="",A22="sim")),'Painel de Controle'!$H$8,'Painel de Controle'!$D$10)</f>
        <v>4.7525160660998287</v>
      </c>
      <c r="M21" s="214">
        <f t="shared" si="8"/>
        <v>0</v>
      </c>
      <c r="N21" s="473">
        <f>IF(AND('Painel de Controle'!$D$12&gt;QD0!T21,'Painel de Controle'!$D$12&lt;QD0!U21),'Painel de Controle'!$D$12,IF(AND('Painel de Controle'!$D$14&gt;QD0!T21,'Painel de Controle'!$D$14&lt;QD0!U21),'Painel de Controle'!$D$14+1,0))</f>
        <v>0</v>
      </c>
      <c r="O21" s="473" t="str">
        <f t="shared" si="9"/>
        <v/>
      </c>
      <c r="P21" s="335">
        <f t="shared" si="10"/>
        <v>4.7525160660998287</v>
      </c>
      <c r="R21" s="232" t="b">
        <f t="shared" si="7"/>
        <v>1</v>
      </c>
      <c r="T21" s="229">
        <v>45965</v>
      </c>
      <c r="U21" s="229">
        <v>46329</v>
      </c>
    </row>
    <row r="22" spans="1:21">
      <c r="A22" s="333" t="str">
        <f>IF(AND(B22&gt;'Painel de Controle'!$D$11-1,QD0!B22&lt;'Painel de Controle'!$D$13+1),"Sim","")</f>
        <v>Sim</v>
      </c>
      <c r="B22" s="211">
        <v>16</v>
      </c>
      <c r="C22" s="212" t="s">
        <v>424</v>
      </c>
      <c r="D22" s="216">
        <f t="shared" si="4"/>
        <v>4.7525160660998287</v>
      </c>
      <c r="E22" s="214">
        <f t="shared" si="0"/>
        <v>365</v>
      </c>
      <c r="F22" s="235">
        <v>46330</v>
      </c>
      <c r="G22" s="234">
        <f t="shared" si="2"/>
        <v>46694</v>
      </c>
      <c r="H22" s="216">
        <f>IF(OR(AND(A22="",A23=""),AND(A22="Sim",A23=""),AND(A22="",A23="sim")),'Painel de Controle'!$H$8,'Painel de Controle'!$D$10)</f>
        <v>4.7525160660998287</v>
      </c>
      <c r="I22" s="217">
        <f t="shared" si="1"/>
        <v>0</v>
      </c>
      <c r="J22" s="234">
        <f>IF(AND('Painel de Controle'!$D$12&gt;QD0!T22,'Painel de Controle'!$D$12&lt;QD0!U22),'Painel de Controle'!$D$12,IF(AND('Painel de Controle'!$D$14&gt;QD0!T22,'Painel de Controle'!$D$14&lt;QD0!U22),'Painel de Controle'!$D$14+1,0))</f>
        <v>0</v>
      </c>
      <c r="K22" s="235" t="str">
        <f t="shared" si="6"/>
        <v/>
      </c>
      <c r="L22" s="216">
        <f>IF(OR(AND(A22="",A23=""),AND(A22="Sim",A23=""),AND(A22="",A23="sim")),'Painel de Controle'!$H$8,'Painel de Controle'!$D$10)</f>
        <v>4.7525160660998287</v>
      </c>
      <c r="M22" s="214">
        <f t="shared" si="8"/>
        <v>0</v>
      </c>
      <c r="N22" s="473">
        <f>IF(AND('Painel de Controle'!$D$12&gt;QD0!T22,'Painel de Controle'!$D$12&lt;QD0!U22),'Painel de Controle'!$D$12,IF(AND('Painel de Controle'!$D$14&gt;QD0!T22,'Painel de Controle'!$D$14&lt;QD0!U22),'Painel de Controle'!$D$14+1,0))</f>
        <v>0</v>
      </c>
      <c r="O22" s="473" t="str">
        <f t="shared" si="9"/>
        <v/>
      </c>
      <c r="P22" s="335">
        <f t="shared" si="10"/>
        <v>4.7525160660998287</v>
      </c>
      <c r="R22" s="232" t="b">
        <f t="shared" si="7"/>
        <v>1</v>
      </c>
      <c r="T22" s="229">
        <v>46330</v>
      </c>
      <c r="U22" s="229">
        <v>46694</v>
      </c>
    </row>
    <row r="23" spans="1:21">
      <c r="A23" s="333" t="str">
        <f>IF(AND(B23&gt;'Painel de Controle'!$D$11-1,QD0!B23&lt;'Painel de Controle'!$D$13+1),"Sim","")</f>
        <v>Sim</v>
      </c>
      <c r="B23" s="211">
        <v>17</v>
      </c>
      <c r="C23" s="212" t="s">
        <v>424</v>
      </c>
      <c r="D23" s="216">
        <f t="shared" si="4"/>
        <v>4.7525160660998287</v>
      </c>
      <c r="E23" s="214">
        <f t="shared" si="0"/>
        <v>366</v>
      </c>
      <c r="F23" s="235">
        <v>46695</v>
      </c>
      <c r="G23" s="234">
        <f t="shared" si="2"/>
        <v>47060</v>
      </c>
      <c r="H23" s="216">
        <f>IF(OR(AND(A23="",A24=""),AND(A23="Sim",A24=""),AND(A23="",A24="sim")),'Painel de Controle'!$H$8,'Painel de Controle'!$D$10)</f>
        <v>4.7525160660998287</v>
      </c>
      <c r="I23" s="214">
        <f t="shared" si="1"/>
        <v>0</v>
      </c>
      <c r="J23" s="234">
        <f>IF(AND('Painel de Controle'!$D$12&gt;QD0!T23,'Painel de Controle'!$D$12&lt;QD0!U23),'Painel de Controle'!$D$12,IF(AND('Painel de Controle'!$D$14&gt;QD0!T23,'Painel de Controle'!$D$14&lt;QD0!U23),'Painel de Controle'!$D$14+1,0))</f>
        <v>0</v>
      </c>
      <c r="K23" s="235" t="str">
        <f t="shared" si="6"/>
        <v/>
      </c>
      <c r="L23" s="216">
        <f>IF(OR(AND(A23="",A24=""),AND(A23="Sim",A24=""),AND(A23="",A24="sim")),'Painel de Controle'!$H$8,'Painel de Controle'!$D$10)</f>
        <v>4.7525160660998287</v>
      </c>
      <c r="M23" s="214">
        <f t="shared" si="8"/>
        <v>0</v>
      </c>
      <c r="N23" s="473">
        <f>IF(AND('Painel de Controle'!$D$12&gt;QD0!T23,'Painel de Controle'!$D$12&lt;QD0!U23),'Painel de Controle'!$D$12,IF(AND('Painel de Controle'!$D$14&gt;QD0!T23,'Painel de Controle'!$D$14&lt;QD0!U23),'Painel de Controle'!$D$14+1,0))</f>
        <v>0</v>
      </c>
      <c r="O23" s="473" t="str">
        <f t="shared" si="9"/>
        <v/>
      </c>
      <c r="P23" s="335">
        <f t="shared" si="10"/>
        <v>4.7525160660998287</v>
      </c>
      <c r="R23" s="232" t="b">
        <f>E23+I23+M23=366</f>
        <v>1</v>
      </c>
      <c r="T23" s="229">
        <v>46695</v>
      </c>
      <c r="U23" s="229">
        <v>47060</v>
      </c>
    </row>
    <row r="24" spans="1:21">
      <c r="A24" s="333" t="str">
        <f>IF(AND(B24&gt;'Painel de Controle'!$D$11-1,QD0!B24&lt;'Painel de Controle'!$D$13+1),"Sim","")</f>
        <v>Sim</v>
      </c>
      <c r="B24" s="211">
        <v>18</v>
      </c>
      <c r="C24" s="212" t="s">
        <v>424</v>
      </c>
      <c r="D24" s="216">
        <f t="shared" si="4"/>
        <v>4.7525160660998287</v>
      </c>
      <c r="E24" s="214">
        <f t="shared" si="0"/>
        <v>365</v>
      </c>
      <c r="F24" s="235">
        <v>47061</v>
      </c>
      <c r="G24" s="234">
        <f t="shared" si="2"/>
        <v>47425</v>
      </c>
      <c r="H24" s="216">
        <f>IF(OR(AND(A24="",A25=""),AND(A24="Sim",A25=""),AND(A24="",A25="sim")),'Painel de Controle'!$H$8,'Painel de Controle'!$D$10)</f>
        <v>4.7525160660998287</v>
      </c>
      <c r="I24" s="214">
        <f t="shared" si="1"/>
        <v>0</v>
      </c>
      <c r="J24" s="234">
        <f>IF(AND('Painel de Controle'!$D$12&gt;QD0!T24,'Painel de Controle'!$D$12&lt;QD0!U24),'Painel de Controle'!$D$12,IF(AND('Painel de Controle'!$D$14&gt;QD0!T24,'Painel de Controle'!$D$14&lt;QD0!U24),'Painel de Controle'!$D$14+1,0))</f>
        <v>0</v>
      </c>
      <c r="K24" s="235" t="str">
        <f t="shared" si="6"/>
        <v/>
      </c>
      <c r="L24" s="216">
        <f>IF(OR(AND(A24="",A25=""),AND(A24="Sim",A25=""),AND(A24="",A25="sim")),'Painel de Controle'!$H$8,'Painel de Controle'!$D$10)</f>
        <v>4.7525160660998287</v>
      </c>
      <c r="M24" s="214">
        <f t="shared" si="8"/>
        <v>0</v>
      </c>
      <c r="N24" s="473">
        <f>IF(AND('Painel de Controle'!$D$12&gt;QD0!T24,'Painel de Controle'!$D$12&lt;QD0!U24),'Painel de Controle'!$D$12,IF(AND('Painel de Controle'!$D$14&gt;QD0!T24,'Painel de Controle'!$D$14&lt;QD0!U24),'Painel de Controle'!$D$14+1,0))</f>
        <v>0</v>
      </c>
      <c r="O24" s="473" t="str">
        <f t="shared" si="9"/>
        <v/>
      </c>
      <c r="P24" s="335">
        <f t="shared" si="10"/>
        <v>4.7525160660998287</v>
      </c>
      <c r="R24" s="232" t="b">
        <f t="shared" si="7"/>
        <v>1</v>
      </c>
      <c r="T24" s="229">
        <v>47061</v>
      </c>
      <c r="U24" s="229">
        <v>47425</v>
      </c>
    </row>
    <row r="25" spans="1:21">
      <c r="A25" s="333" t="str">
        <f>IF(AND(B25&gt;'Painel de Controle'!$D$11-1,QD0!B25&lt;'Painel de Controle'!$D$13+1),"Sim","")</f>
        <v>Sim</v>
      </c>
      <c r="B25" s="211">
        <v>19</v>
      </c>
      <c r="C25" s="212" t="s">
        <v>424</v>
      </c>
      <c r="D25" s="216">
        <f t="shared" si="4"/>
        <v>4.7525160660998287</v>
      </c>
      <c r="E25" s="214">
        <f t="shared" si="0"/>
        <v>365</v>
      </c>
      <c r="F25" s="235">
        <v>47426</v>
      </c>
      <c r="G25" s="234">
        <f t="shared" si="2"/>
        <v>47790</v>
      </c>
      <c r="H25" s="216">
        <f>IF(OR(AND(A25="",A26=""),AND(A25="Sim",A26=""),AND(A25="",A26="sim")),'Painel de Controle'!$H$8,'Painel de Controle'!$D$10)</f>
        <v>4.7525160660998287</v>
      </c>
      <c r="I25" s="217">
        <f t="shared" si="1"/>
        <v>0</v>
      </c>
      <c r="J25" s="234">
        <f>IF(AND('Painel de Controle'!$D$12&gt;QD0!T25,'Painel de Controle'!$D$12&lt;QD0!U25),'Painel de Controle'!$D$12,IF(AND('Painel de Controle'!$D$14&gt;QD0!T25,'Painel de Controle'!$D$14&lt;QD0!U25),'Painel de Controle'!$D$14+1,0))</f>
        <v>0</v>
      </c>
      <c r="K25" s="235" t="str">
        <f t="shared" si="6"/>
        <v/>
      </c>
      <c r="L25" s="216">
        <f>IF(OR(AND(A25="",A26=""),AND(A25="Sim",A26=""),AND(A25="",A26="sim")),'Painel de Controle'!$H$8,'Painel de Controle'!$D$10)</f>
        <v>4.7525160660998287</v>
      </c>
      <c r="M25" s="214">
        <f t="shared" si="8"/>
        <v>0</v>
      </c>
      <c r="N25" s="473">
        <f>IF(AND('Painel de Controle'!$D$12&gt;QD0!T25,'Painel de Controle'!$D$12&lt;QD0!U25),'Painel de Controle'!$D$12,IF(AND('Painel de Controle'!$D$14&gt;QD0!T25,'Painel de Controle'!$D$14&lt;QD0!U25),'Painel de Controle'!$D$14+1,0))</f>
        <v>0</v>
      </c>
      <c r="O25" s="473" t="str">
        <f t="shared" si="9"/>
        <v/>
      </c>
      <c r="P25" s="335">
        <f t="shared" si="10"/>
        <v>4.7525160660998287</v>
      </c>
      <c r="R25" s="232" t="b">
        <f t="shared" si="7"/>
        <v>1</v>
      </c>
      <c r="T25" s="229">
        <v>47426</v>
      </c>
      <c r="U25" s="229">
        <v>47790</v>
      </c>
    </row>
    <row r="26" spans="1:21">
      <c r="A26" s="333" t="str">
        <f>IF(AND(B26&gt;'Painel de Controle'!$D$11-1,QD0!B26&lt;'Painel de Controle'!$D$13+1),"Sim","")</f>
        <v>Sim</v>
      </c>
      <c r="B26" s="211">
        <v>20</v>
      </c>
      <c r="C26" s="212" t="s">
        <v>424</v>
      </c>
      <c r="D26" s="216">
        <f t="shared" si="4"/>
        <v>4.7525160660998287</v>
      </c>
      <c r="E26" s="214">
        <f t="shared" si="0"/>
        <v>365</v>
      </c>
      <c r="F26" s="235">
        <v>47791</v>
      </c>
      <c r="G26" s="234">
        <f t="shared" si="2"/>
        <v>48155</v>
      </c>
      <c r="H26" s="216">
        <f>IF(OR(AND(A26="",A27=""),AND(A26="Sim",A27=""),AND(A26="",A27="sim")),'Painel de Controle'!$H$8,'Painel de Controle'!$D$10)</f>
        <v>4.7525160660998287</v>
      </c>
      <c r="I26" s="214">
        <f t="shared" si="1"/>
        <v>0</v>
      </c>
      <c r="J26" s="234">
        <f>IF(AND('Painel de Controle'!$D$12&gt;QD0!T26,'Painel de Controle'!$D$12&lt;QD0!U26),'Painel de Controle'!$D$12,IF(AND('Painel de Controle'!$D$14&gt;QD0!T26,'Painel de Controle'!$D$14&lt;QD0!U26),'Painel de Controle'!$D$14+1,0))</f>
        <v>0</v>
      </c>
      <c r="K26" s="235" t="str">
        <f t="shared" si="6"/>
        <v/>
      </c>
      <c r="L26" s="216">
        <f>IF(OR(AND(A26="",A27=""),AND(A26="Sim",A27=""),AND(A26="",A27="sim")),'Painel de Controle'!$H$8,'Painel de Controle'!$D$10)</f>
        <v>4.7525160660998287</v>
      </c>
      <c r="M26" s="214">
        <f t="shared" si="8"/>
        <v>0</v>
      </c>
      <c r="N26" s="473">
        <f>IF(AND('Painel de Controle'!$D$12&gt;QD0!T26,'Painel de Controle'!$D$12&lt;QD0!U26),'Painel de Controle'!$D$12,IF(AND('Painel de Controle'!$D$14&gt;QD0!T26,'Painel de Controle'!$D$14&lt;QD0!U26),'Painel de Controle'!$D$14+1,0))</f>
        <v>0</v>
      </c>
      <c r="O26" s="473" t="str">
        <f t="shared" si="9"/>
        <v/>
      </c>
      <c r="P26" s="335">
        <f t="shared" si="10"/>
        <v>4.7525160660998287</v>
      </c>
      <c r="R26" s="232" t="b">
        <f t="shared" si="7"/>
        <v>1</v>
      </c>
      <c r="T26" s="229">
        <v>47791</v>
      </c>
      <c r="U26" s="229">
        <v>48155</v>
      </c>
    </row>
    <row r="27" spans="1:21">
      <c r="A27" s="333" t="str">
        <f>IF(AND(B27&gt;'Painel de Controle'!$D$11-1,QD0!B27&lt;'Painel de Controle'!$D$13+1),"Sim","")</f>
        <v>Sim</v>
      </c>
      <c r="B27" s="211">
        <v>21</v>
      </c>
      <c r="C27" s="212" t="s">
        <v>424</v>
      </c>
      <c r="D27" s="216">
        <f t="shared" si="4"/>
        <v>4.7525160660998287</v>
      </c>
      <c r="E27" s="214">
        <f t="shared" si="0"/>
        <v>366</v>
      </c>
      <c r="F27" s="235">
        <v>48156</v>
      </c>
      <c r="G27" s="234">
        <f t="shared" si="2"/>
        <v>48521</v>
      </c>
      <c r="H27" s="216">
        <f>IF(OR(AND(A27="",A28=""),AND(A27="Sim",A28=""),AND(A27="",A28="sim")),'Painel de Controle'!$H$8,'Painel de Controle'!$D$10)</f>
        <v>4.7525160660998287</v>
      </c>
      <c r="I27" s="214">
        <f t="shared" si="1"/>
        <v>0</v>
      </c>
      <c r="J27" s="234">
        <f>IF(AND('Painel de Controle'!$D$12&gt;QD0!T27,'Painel de Controle'!$D$12&lt;QD0!U27),'Painel de Controle'!$D$12,IF(AND('Painel de Controle'!$D$14&gt;QD0!T27,'Painel de Controle'!$D$14&lt;QD0!U27),'Painel de Controle'!$D$14+1,0))</f>
        <v>0</v>
      </c>
      <c r="K27" s="235" t="str">
        <f t="shared" si="6"/>
        <v/>
      </c>
      <c r="L27" s="216">
        <f>IF(OR(AND(A27="",A28=""),AND(A27="Sim",A28=""),AND(A27="",A28="sim")),'Painel de Controle'!$H$8,'Painel de Controle'!$D$10)</f>
        <v>4.7525160660998287</v>
      </c>
      <c r="M27" s="214">
        <f t="shared" si="8"/>
        <v>0</v>
      </c>
      <c r="N27" s="473">
        <f>IF(AND('Painel de Controle'!$D$12&gt;QD0!T27,'Painel de Controle'!$D$12&lt;QD0!U27),'Painel de Controle'!$D$12,IF(AND('Painel de Controle'!$D$14&gt;QD0!T27,'Painel de Controle'!$D$14&lt;QD0!U27),'Painel de Controle'!$D$14+1,0))</f>
        <v>0</v>
      </c>
      <c r="O27" s="473" t="str">
        <f t="shared" si="9"/>
        <v/>
      </c>
      <c r="P27" s="335">
        <f t="shared" si="10"/>
        <v>4.7525160660998287</v>
      </c>
      <c r="R27" s="232" t="b">
        <f>E27+I27+M27=366</f>
        <v>1</v>
      </c>
      <c r="T27" s="229">
        <v>48156</v>
      </c>
      <c r="U27" s="229">
        <v>48521</v>
      </c>
    </row>
    <row r="28" spans="1:21">
      <c r="A28" s="333" t="str">
        <f>IF(AND(B28&gt;'Painel de Controle'!$D$11-1,QD0!B28&lt;'Painel de Controle'!$D$13+1),"Sim","")</f>
        <v>Sim</v>
      </c>
      <c r="B28" s="211">
        <v>22</v>
      </c>
      <c r="C28" s="212" t="s">
        <v>424</v>
      </c>
      <c r="D28" s="216">
        <f t="shared" si="4"/>
        <v>4.7525160660998287</v>
      </c>
      <c r="E28" s="214">
        <f t="shared" si="0"/>
        <v>365</v>
      </c>
      <c r="F28" s="235">
        <v>48522</v>
      </c>
      <c r="G28" s="234">
        <f t="shared" si="2"/>
        <v>48886</v>
      </c>
      <c r="H28" s="216">
        <f>IF(OR(AND(A28="",A29=""),AND(A28="Sim",A29=""),AND(A28="",A29="sim")),'Painel de Controle'!$H$8,'Painel de Controle'!$D$10)</f>
        <v>4.7525160660998287</v>
      </c>
      <c r="I28" s="217">
        <f t="shared" si="1"/>
        <v>0</v>
      </c>
      <c r="J28" s="234">
        <f>IF(AND('Painel de Controle'!$D$12&gt;QD0!T28,'Painel de Controle'!$D$12&lt;QD0!U28),'Painel de Controle'!$D$12,IF(AND('Painel de Controle'!$D$14&gt;QD0!T28,'Painel de Controle'!$D$14&lt;QD0!U28),'Painel de Controle'!$D$14+1,0))</f>
        <v>0</v>
      </c>
      <c r="K28" s="235" t="str">
        <f t="shared" si="6"/>
        <v/>
      </c>
      <c r="L28" s="216">
        <f>IF(OR(AND(A28="",A29=""),AND(A28="Sim",A29=""),AND(A28="",A29="sim")),'Painel de Controle'!$H$8,'Painel de Controle'!$D$10)</f>
        <v>4.7525160660998287</v>
      </c>
      <c r="M28" s="214">
        <f t="shared" si="8"/>
        <v>0</v>
      </c>
      <c r="N28" s="473">
        <f>IF(AND('Painel de Controle'!$D$12&gt;QD0!T28,'Painel de Controle'!$D$12&lt;QD0!U28),'Painel de Controle'!$D$12,IF(AND('Painel de Controle'!$D$14&gt;QD0!T28,'Painel de Controle'!$D$14&lt;QD0!U28),'Painel de Controle'!$D$14+1,0))</f>
        <v>0</v>
      </c>
      <c r="O28" s="473" t="str">
        <f t="shared" si="9"/>
        <v/>
      </c>
      <c r="P28" s="335">
        <f t="shared" si="10"/>
        <v>4.7525160660998287</v>
      </c>
      <c r="R28" s="232" t="b">
        <f t="shared" si="7"/>
        <v>1</v>
      </c>
      <c r="T28" s="229">
        <v>48522</v>
      </c>
      <c r="U28" s="229">
        <v>48886</v>
      </c>
    </row>
    <row r="29" spans="1:21">
      <c r="A29" s="333" t="str">
        <f>IF(AND(B29&gt;'Painel de Controle'!$D$11-1,QD0!B29&lt;'Painel de Controle'!$D$13+1),"Sim","")</f>
        <v>Sim</v>
      </c>
      <c r="B29" s="211">
        <v>23</v>
      </c>
      <c r="C29" s="212" t="s">
        <v>424</v>
      </c>
      <c r="D29" s="216">
        <f t="shared" si="4"/>
        <v>4.7525160660998287</v>
      </c>
      <c r="E29" s="214">
        <f t="shared" si="0"/>
        <v>365</v>
      </c>
      <c r="F29" s="235">
        <v>48887</v>
      </c>
      <c r="G29" s="234">
        <f t="shared" si="2"/>
        <v>49251</v>
      </c>
      <c r="H29" s="216">
        <f>IF(OR(AND(A29="",A30=""),AND(A29="Sim",A30=""),AND(A29="",A30="sim")),'Painel de Controle'!$H$8,'Painel de Controle'!$D$10)</f>
        <v>4.7525160660998287</v>
      </c>
      <c r="I29" s="214">
        <f t="shared" si="1"/>
        <v>0</v>
      </c>
      <c r="J29" s="234">
        <f>IF(AND('Painel de Controle'!$D$12&gt;QD0!T29,'Painel de Controle'!$D$12&lt;QD0!U29),'Painel de Controle'!$D$12,IF(AND('Painel de Controle'!$D$14&gt;QD0!T29,'Painel de Controle'!$D$14&lt;QD0!U29),'Painel de Controle'!$D$14+1,0))</f>
        <v>0</v>
      </c>
      <c r="K29" s="235" t="str">
        <f t="shared" si="6"/>
        <v/>
      </c>
      <c r="L29" s="216">
        <f>IF(OR(AND(A29="",A30=""),AND(A29="Sim",A30=""),AND(A29="",A30="sim")),'Painel de Controle'!$H$8,'Painel de Controle'!$D$10)</f>
        <v>4.7525160660998287</v>
      </c>
      <c r="M29" s="214">
        <f t="shared" si="8"/>
        <v>0</v>
      </c>
      <c r="N29" s="473">
        <f>IF(AND('Painel de Controle'!$D$12&gt;QD0!T29,'Painel de Controle'!$D$12&lt;QD0!U29),'Painel de Controle'!$D$12,IF(AND('Painel de Controle'!$D$14&gt;QD0!T29,'Painel de Controle'!$D$14&lt;QD0!U29),'Painel de Controle'!$D$14+1,0))</f>
        <v>0</v>
      </c>
      <c r="O29" s="473" t="str">
        <f t="shared" si="9"/>
        <v/>
      </c>
      <c r="P29" s="335">
        <f t="shared" si="10"/>
        <v>4.7525160660998287</v>
      </c>
      <c r="R29" s="232" t="b">
        <f t="shared" si="7"/>
        <v>1</v>
      </c>
      <c r="T29" s="229">
        <v>48887</v>
      </c>
      <c r="U29" s="229">
        <v>49251</v>
      </c>
    </row>
    <row r="30" spans="1:21">
      <c r="A30" s="333" t="str">
        <f>IF(AND(B30&gt;'Painel de Controle'!$D$11-1,QD0!B30&lt;'Painel de Controle'!$D$13+1),"Sim","")</f>
        <v>Sim</v>
      </c>
      <c r="B30" s="211">
        <v>24</v>
      </c>
      <c r="C30" s="212" t="s">
        <v>424</v>
      </c>
      <c r="D30" s="216">
        <f t="shared" si="4"/>
        <v>4.7525160660998287</v>
      </c>
      <c r="E30" s="214">
        <f t="shared" si="0"/>
        <v>365</v>
      </c>
      <c r="F30" s="235">
        <v>49252</v>
      </c>
      <c r="G30" s="234">
        <f t="shared" si="2"/>
        <v>49616</v>
      </c>
      <c r="H30" s="216">
        <f>IF(OR(AND(A30="",A31=""),AND(A30="Sim",A31=""),AND(A30="",A31="sim")),'Painel de Controle'!$H$8,'Painel de Controle'!$D$10)</f>
        <v>4.7525160660998287</v>
      </c>
      <c r="I30" s="214">
        <f t="shared" si="1"/>
        <v>0</v>
      </c>
      <c r="J30" s="234">
        <f>IF(AND('Painel de Controle'!$D$12&gt;QD0!T30,'Painel de Controle'!$D$12&lt;QD0!U30),'Painel de Controle'!$D$12,IF(AND('Painel de Controle'!$D$14&gt;QD0!T30,'Painel de Controle'!$D$14&lt;QD0!U30),'Painel de Controle'!$D$14+1,0))</f>
        <v>0</v>
      </c>
      <c r="K30" s="235" t="str">
        <f t="shared" si="6"/>
        <v/>
      </c>
      <c r="L30" s="216">
        <f>IF(OR(AND(A30="",A31=""),AND(A30="Sim",A31=""),AND(A30="",A31="sim")),'Painel de Controle'!$H$8,'Painel de Controle'!$D$10)</f>
        <v>4.7525160660998287</v>
      </c>
      <c r="M30" s="214">
        <f t="shared" si="8"/>
        <v>0</v>
      </c>
      <c r="N30" s="473">
        <f>IF(AND('Painel de Controle'!$D$12&gt;QD0!T30,'Painel de Controle'!$D$12&lt;QD0!U30),'Painel de Controle'!$D$12,IF(AND('Painel de Controle'!$D$14&gt;QD0!T30,'Painel de Controle'!$D$14&lt;QD0!U30),'Painel de Controle'!$D$14+1,0))</f>
        <v>0</v>
      </c>
      <c r="O30" s="473" t="str">
        <f t="shared" si="9"/>
        <v/>
      </c>
      <c r="P30" s="335">
        <f t="shared" si="10"/>
        <v>4.7525160660998287</v>
      </c>
      <c r="R30" s="232" t="b">
        <f t="shared" si="7"/>
        <v>1</v>
      </c>
      <c r="T30" s="229">
        <v>49252</v>
      </c>
      <c r="U30" s="229">
        <v>49616</v>
      </c>
    </row>
    <row r="31" spans="1:21">
      <c r="A31" s="333" t="str">
        <f>IF(AND(B31&gt;'Painel de Controle'!$D$11-1,QD0!B31&lt;'Painel de Controle'!$D$13+1),"Sim","")</f>
        <v>Sim</v>
      </c>
      <c r="B31" s="224">
        <v>25</v>
      </c>
      <c r="C31" s="225" t="s">
        <v>424</v>
      </c>
      <c r="D31" s="216">
        <f t="shared" si="4"/>
        <v>4.7525160660998287</v>
      </c>
      <c r="E31" s="226">
        <f t="shared" si="0"/>
        <v>366</v>
      </c>
      <c r="F31" s="236">
        <v>49617</v>
      </c>
      <c r="G31" s="234">
        <f t="shared" si="2"/>
        <v>49982</v>
      </c>
      <c r="H31" s="216">
        <f>IF(OR(AND(A31="",A32=""),AND(A31="Sim",A32=""),AND(A31="",A32="sim")),'Painel de Controle'!$H$8,'Painel de Controle'!$D$10)</f>
        <v>4.7525160660998287</v>
      </c>
      <c r="I31" s="227">
        <f t="shared" si="1"/>
        <v>0</v>
      </c>
      <c r="J31" s="234">
        <f>IF(AND('Painel de Controle'!$D$12&gt;QD0!T31,'Painel de Controle'!$D$12&lt;QD0!U31),'Painel de Controle'!$D$12,IF(AND('Painel de Controle'!$D$14&gt;QD0!T31,'Painel de Controle'!$D$14&lt;QD0!U31),'Painel de Controle'!$D$14+1,0))</f>
        <v>0</v>
      </c>
      <c r="K31" s="235" t="str">
        <f t="shared" si="6"/>
        <v/>
      </c>
      <c r="L31" s="216">
        <f>IF(OR(AND(A31="",A32=""),AND(A31="Sim",A32=""),AND(A31="",A32="sim")),'Painel de Controle'!$H$8,'Painel de Controle'!$D$10)</f>
        <v>4.7525160660998287</v>
      </c>
      <c r="M31" s="214">
        <f t="shared" si="8"/>
        <v>0</v>
      </c>
      <c r="N31" s="473">
        <f>IF(AND('Painel de Controle'!$D$12&gt;QD0!T31,'Painel de Controle'!$D$12&lt;QD0!U31),'Painel de Controle'!$D$12,IF(AND('Painel de Controle'!$D$14&gt;QD0!T31,'Painel de Controle'!$D$14&lt;QD0!U31),'Painel de Controle'!$D$14+1,0))</f>
        <v>0</v>
      </c>
      <c r="O31" s="473" t="str">
        <f t="shared" si="9"/>
        <v/>
      </c>
      <c r="P31" s="335">
        <f t="shared" si="10"/>
        <v>4.7525160660998287</v>
      </c>
      <c r="R31" s="232" t="b">
        <f>E31+I31+M31=366</f>
        <v>1</v>
      </c>
      <c r="T31" s="230">
        <v>49617</v>
      </c>
      <c r="U31" s="230">
        <v>49982</v>
      </c>
    </row>
    <row r="32" spans="1:21">
      <c r="A32" s="333" t="str">
        <f>IF(AND(B32&gt;'Painel de Controle'!$D$11-1,QD0!B32&lt;'Painel de Controle'!$D$13+1),"Sim","")</f>
        <v>Sim</v>
      </c>
      <c r="B32" s="211">
        <v>26</v>
      </c>
      <c r="C32" s="212" t="s">
        <v>424</v>
      </c>
      <c r="D32" s="216">
        <f t="shared" si="4"/>
        <v>4.7525160660998287</v>
      </c>
      <c r="E32" s="214">
        <f t="shared" ref="E32:E41" si="11">IF(F32&gt;0,(G32-F32+1),)</f>
        <v>365</v>
      </c>
      <c r="F32" s="235">
        <v>49983</v>
      </c>
      <c r="G32" s="234">
        <f t="shared" si="2"/>
        <v>50347</v>
      </c>
      <c r="H32" s="216">
        <f>IF(OR(AND(A32="",A33=""),AND(A32="Sim",A33=""),AND(A32="",A33="sim")),'Painel de Controle'!$H$8,'Painel de Controle'!$D$10)</f>
        <v>4.7525160660998287</v>
      </c>
      <c r="I32" s="214">
        <f t="shared" ref="I32:I41" si="12">IF(J32&gt;0,(K32-J32)+1,)</f>
        <v>0</v>
      </c>
      <c r="J32" s="234">
        <f>IF(AND('Painel de Controle'!$D$12&gt;QD0!T32,'Painel de Controle'!$D$12&lt;QD0!U32),'Painel de Controle'!$D$12,IF(AND('Painel de Controle'!$D$14&gt;QD0!T32,'Painel de Controle'!$D$14&lt;QD0!U32),'Painel de Controle'!$D$14+1,0))</f>
        <v>0</v>
      </c>
      <c r="K32" s="235" t="str">
        <f t="shared" si="6"/>
        <v/>
      </c>
      <c r="L32" s="216">
        <f>IF(OR(AND(A32="",A33=""),AND(A32="Sim",A33=""),AND(A32="",A33="sim")),'Painel de Controle'!$H$8,'Painel de Controle'!$D$10)</f>
        <v>4.7525160660998287</v>
      </c>
      <c r="M32" s="214">
        <f t="shared" si="8"/>
        <v>0</v>
      </c>
      <c r="N32" s="473">
        <f>IF(AND('Painel de Controle'!$D$12&gt;QD0!T32,'Painel de Controle'!$D$12&lt;QD0!U32),'Painel de Controle'!$D$12,IF(AND('Painel de Controle'!$D$14&gt;QD0!T32,'Painel de Controle'!$D$14&lt;QD0!U32),'Painel de Controle'!$D$14+1,0))</f>
        <v>0</v>
      </c>
      <c r="O32" s="473" t="str">
        <f t="shared" si="9"/>
        <v/>
      </c>
      <c r="P32" s="335">
        <f t="shared" si="10"/>
        <v>4.7525160660998287</v>
      </c>
      <c r="R32" s="232" t="b">
        <f t="shared" si="7"/>
        <v>1</v>
      </c>
      <c r="T32" s="229">
        <v>49983</v>
      </c>
      <c r="U32" s="229">
        <v>50347</v>
      </c>
    </row>
    <row r="33" spans="1:52">
      <c r="A33" s="333" t="str">
        <f>IF(AND(B33&gt;'Painel de Controle'!$D$11-1,QD0!B33&lt;'Painel de Controle'!$D$13+1),"Sim","")</f>
        <v>Sim</v>
      </c>
      <c r="B33" s="224">
        <v>27</v>
      </c>
      <c r="C33" s="225" t="s">
        <v>424</v>
      </c>
      <c r="D33" s="216">
        <f t="shared" si="4"/>
        <v>4.7525160660998287</v>
      </c>
      <c r="E33" s="226">
        <f t="shared" si="11"/>
        <v>365</v>
      </c>
      <c r="F33" s="236">
        <v>50348</v>
      </c>
      <c r="G33" s="234">
        <f t="shared" si="2"/>
        <v>50712</v>
      </c>
      <c r="H33" s="216">
        <f>IF(OR(AND(A33="",A34=""),AND(A33="Sim",A34=""),AND(A33="",A34="sim")),'Painel de Controle'!$H$8,'Painel de Controle'!$D$10)</f>
        <v>4.7525160660998287</v>
      </c>
      <c r="I33" s="227">
        <f t="shared" si="12"/>
        <v>0</v>
      </c>
      <c r="J33" s="234">
        <f>IF(AND('Painel de Controle'!$D$12&gt;QD0!T33,'Painel de Controle'!$D$12&lt;QD0!U33),'Painel de Controle'!$D$12,IF(AND('Painel de Controle'!$D$14&gt;QD0!T33,'Painel de Controle'!$D$14&lt;QD0!U33),'Painel de Controle'!$D$14+1,0))</f>
        <v>0</v>
      </c>
      <c r="K33" s="235" t="str">
        <f t="shared" si="6"/>
        <v/>
      </c>
      <c r="L33" s="216">
        <f>IF(OR(AND(A33="",A34=""),AND(A33="Sim",A34=""),AND(A33="",A34="sim")),'Painel de Controle'!$H$8,'Painel de Controle'!$D$10)</f>
        <v>4.7525160660998287</v>
      </c>
      <c r="M33" s="214">
        <f t="shared" si="8"/>
        <v>0</v>
      </c>
      <c r="N33" s="473">
        <f>IF(AND('Painel de Controle'!$D$12&gt;QD0!T33,'Painel de Controle'!$D$12&lt;QD0!U33),'Painel de Controle'!$D$12,IF(AND('Painel de Controle'!$D$14&gt;QD0!T33,'Painel de Controle'!$D$14&lt;QD0!U33),'Painel de Controle'!$D$14+1,0))</f>
        <v>0</v>
      </c>
      <c r="O33" s="473" t="str">
        <f t="shared" si="9"/>
        <v/>
      </c>
      <c r="P33" s="335">
        <f t="shared" si="10"/>
        <v>4.7525160660998287</v>
      </c>
      <c r="R33" s="232" t="b">
        <f t="shared" si="7"/>
        <v>1</v>
      </c>
      <c r="T33" s="230">
        <v>50348</v>
      </c>
      <c r="U33" s="230">
        <v>50712</v>
      </c>
    </row>
    <row r="34" spans="1:52">
      <c r="A34" s="333" t="str">
        <f>IF(AND(B34&gt;'Painel de Controle'!$D$11-1,QD0!B34&lt;'Painel de Controle'!$D$13+1),"Sim","")</f>
        <v>Sim</v>
      </c>
      <c r="B34" s="211">
        <v>28</v>
      </c>
      <c r="C34" s="212" t="s">
        <v>424</v>
      </c>
      <c r="D34" s="216">
        <f t="shared" si="4"/>
        <v>4.7525160660998287</v>
      </c>
      <c r="E34" s="214">
        <f t="shared" si="11"/>
        <v>365</v>
      </c>
      <c r="F34" s="235">
        <v>50713</v>
      </c>
      <c r="G34" s="234">
        <f t="shared" si="2"/>
        <v>51077</v>
      </c>
      <c r="H34" s="216">
        <f>IF(OR(AND(A34="",A35=""),AND(A34="Sim",A35=""),AND(A34="",A35="sim")),'Painel de Controle'!$H$8,'Painel de Controle'!$D$10)</f>
        <v>4.7525160660998287</v>
      </c>
      <c r="I34" s="214">
        <f t="shared" si="12"/>
        <v>0</v>
      </c>
      <c r="J34" s="234">
        <f>IF(AND('Painel de Controle'!$D$12&gt;QD0!T34,'Painel de Controle'!$D$12&lt;QD0!U34),'Painel de Controle'!$D$12,IF(AND('Painel de Controle'!$D$14&gt;QD0!T34,'Painel de Controle'!$D$14&lt;QD0!U34),'Painel de Controle'!$D$14+1,0))</f>
        <v>0</v>
      </c>
      <c r="K34" s="235" t="str">
        <f t="shared" si="6"/>
        <v/>
      </c>
      <c r="L34" s="216">
        <f>IF(OR(AND(A34="",A35=""),AND(A34="Sim",A35=""),AND(A34="",A35="sim")),'Painel de Controle'!$H$8,'Painel de Controle'!$D$10)</f>
        <v>4.7525160660998287</v>
      </c>
      <c r="M34" s="214">
        <f t="shared" si="8"/>
        <v>0</v>
      </c>
      <c r="N34" s="473">
        <f>IF(AND('Painel de Controle'!$D$12&gt;QD0!T34,'Painel de Controle'!$D$12&lt;QD0!U34),'Painel de Controle'!$D$12,IF(AND('Painel de Controle'!$D$14&gt;QD0!T34,'Painel de Controle'!$D$14&lt;QD0!U34),'Painel de Controle'!$D$14+1,0))</f>
        <v>0</v>
      </c>
      <c r="O34" s="473" t="str">
        <f t="shared" si="9"/>
        <v/>
      </c>
      <c r="P34" s="335">
        <f t="shared" si="10"/>
        <v>4.7525160660998287</v>
      </c>
      <c r="R34" s="232" t="b">
        <f t="shared" si="7"/>
        <v>1</v>
      </c>
      <c r="T34" s="229">
        <v>50713</v>
      </c>
      <c r="U34" s="229">
        <v>51077</v>
      </c>
    </row>
    <row r="35" spans="1:52">
      <c r="A35" s="333" t="str">
        <f>IF(AND(B35&gt;'Painel de Controle'!$D$11-1,QD0!B35&lt;'Painel de Controle'!$D$13+1),"Sim","")</f>
        <v>Sim</v>
      </c>
      <c r="B35" s="224">
        <v>29</v>
      </c>
      <c r="C35" s="225" t="s">
        <v>424</v>
      </c>
      <c r="D35" s="216">
        <f t="shared" si="4"/>
        <v>4.7525160660998287</v>
      </c>
      <c r="E35" s="226">
        <f t="shared" si="11"/>
        <v>366</v>
      </c>
      <c r="F35" s="236">
        <v>51078</v>
      </c>
      <c r="G35" s="234">
        <f t="shared" si="2"/>
        <v>51443</v>
      </c>
      <c r="H35" s="216">
        <f>IF(OR(AND(A35="",A36=""),AND(A35="Sim",A36=""),AND(A35="",A36="sim")),'Painel de Controle'!$H$8,'Painel de Controle'!$D$10)</f>
        <v>4.7525160660998287</v>
      </c>
      <c r="I35" s="227">
        <f t="shared" si="12"/>
        <v>0</v>
      </c>
      <c r="J35" s="234">
        <f>IF(AND('Painel de Controle'!$D$12&gt;QD0!T35,'Painel de Controle'!$D$12&lt;QD0!U35),'Painel de Controle'!$D$12,IF(AND('Painel de Controle'!$D$14&gt;QD0!T35,'Painel de Controle'!$D$14&lt;QD0!U35),'Painel de Controle'!$D$14+1,0))</f>
        <v>0</v>
      </c>
      <c r="K35" s="235" t="str">
        <f t="shared" si="6"/>
        <v/>
      </c>
      <c r="L35" s="216">
        <f>IF(OR(AND(A35="",A36=""),AND(A35="Sim",A36=""),AND(A35="",A36="sim")),'Painel de Controle'!$H$8,'Painel de Controle'!$D$10)</f>
        <v>4.7525160660998287</v>
      </c>
      <c r="M35" s="214">
        <f t="shared" si="8"/>
        <v>0</v>
      </c>
      <c r="N35" s="473">
        <f>IF(AND('Painel de Controle'!$D$12&gt;QD0!T35,'Painel de Controle'!$D$12&lt;QD0!U35),'Painel de Controle'!$D$12,IF(AND('Painel de Controle'!$D$14&gt;QD0!T35,'Painel de Controle'!$D$14&lt;QD0!U35),'Painel de Controle'!$D$14+1,0))</f>
        <v>0</v>
      </c>
      <c r="O35" s="473" t="str">
        <f t="shared" si="9"/>
        <v/>
      </c>
      <c r="P35" s="335">
        <f t="shared" si="10"/>
        <v>4.7525160660998287</v>
      </c>
      <c r="R35" s="232" t="b">
        <f>E35+I35+M35=366</f>
        <v>1</v>
      </c>
      <c r="T35" s="230">
        <v>51078</v>
      </c>
      <c r="U35" s="230">
        <v>51443</v>
      </c>
    </row>
    <row r="36" spans="1:52">
      <c r="A36" s="333" t="str">
        <f>IF(AND(B36&gt;'Painel de Controle'!$D$11-1,QD0!B36&lt;'Painel de Controle'!$D$13+1),"Sim","")</f>
        <v>Sim</v>
      </c>
      <c r="B36" s="211">
        <v>30</v>
      </c>
      <c r="C36" s="212" t="s">
        <v>424</v>
      </c>
      <c r="D36" s="216">
        <f t="shared" si="4"/>
        <v>4.7525160660998287</v>
      </c>
      <c r="E36" s="214">
        <f t="shared" si="11"/>
        <v>365</v>
      </c>
      <c r="F36" s="235">
        <v>51444</v>
      </c>
      <c r="G36" s="234">
        <f t="shared" si="2"/>
        <v>51808</v>
      </c>
      <c r="H36" s="216">
        <f>IF(OR(AND(A36="",A37=""),AND(A36="Sim",A37=""),AND(A36="",A37="sim")),'Painel de Controle'!$H$8,'Painel de Controle'!$D$10)</f>
        <v>4.7525160660998287</v>
      </c>
      <c r="I36" s="214">
        <f t="shared" si="12"/>
        <v>0</v>
      </c>
      <c r="J36" s="234">
        <f>IF(AND('Painel de Controle'!$D$12&gt;QD0!T36,'Painel de Controle'!$D$12&lt;QD0!U36),'Painel de Controle'!$D$12,IF(AND('Painel de Controle'!$D$14&gt;QD0!T36,'Painel de Controle'!$D$14&lt;QD0!U36),'Painel de Controle'!$D$14+1,0))</f>
        <v>0</v>
      </c>
      <c r="K36" s="235" t="str">
        <f t="shared" si="6"/>
        <v/>
      </c>
      <c r="L36" s="216">
        <f>IF(OR(AND(A36="",A37=""),AND(A36="Sim",A37=""),AND(A36="",A37="sim")),'Painel de Controle'!$H$8,'Painel de Controle'!$D$10)</f>
        <v>4.7525160660998287</v>
      </c>
      <c r="M36" s="214">
        <f t="shared" si="8"/>
        <v>0</v>
      </c>
      <c r="N36" s="473">
        <f>IF(AND('Painel de Controle'!$D$12&gt;QD0!T36,'Painel de Controle'!$D$12&lt;QD0!U36),'Painel de Controle'!$D$12,IF(AND('Painel de Controle'!$D$14&gt;QD0!T36,'Painel de Controle'!$D$14&lt;QD0!U36),'Painel de Controle'!$D$14+1,0))</f>
        <v>0</v>
      </c>
      <c r="O36" s="473" t="str">
        <f t="shared" si="9"/>
        <v/>
      </c>
      <c r="P36" s="335">
        <f t="shared" si="10"/>
        <v>4.7525160660998287</v>
      </c>
      <c r="R36" s="232" t="b">
        <f t="shared" si="7"/>
        <v>1</v>
      </c>
      <c r="T36" s="229">
        <v>51444</v>
      </c>
      <c r="U36" s="229">
        <v>51808</v>
      </c>
    </row>
    <row r="37" spans="1:52">
      <c r="A37" s="333" t="str">
        <f>IF(AND(B37&gt;'Painel de Controle'!$D$11-1,QD0!B37&lt;'Painel de Controle'!$D$13+1),"Sim","")</f>
        <v>Sim</v>
      </c>
      <c r="B37" s="224">
        <v>31</v>
      </c>
      <c r="C37" s="225" t="s">
        <v>424</v>
      </c>
      <c r="D37" s="216">
        <f t="shared" si="4"/>
        <v>4.7525160660998287</v>
      </c>
      <c r="E37" s="226">
        <f t="shared" si="11"/>
        <v>365</v>
      </c>
      <c r="F37" s="236">
        <v>51809</v>
      </c>
      <c r="G37" s="234">
        <f t="shared" si="2"/>
        <v>52173</v>
      </c>
      <c r="H37" s="216">
        <f>IF(OR(AND(A37="",A38=""),AND(A37="Sim",A38=""),AND(A37="",A38="sim")),'Painel de Controle'!$H$8,'Painel de Controle'!$D$10)</f>
        <v>4.7525160660998287</v>
      </c>
      <c r="I37" s="227">
        <f t="shared" si="12"/>
        <v>0</v>
      </c>
      <c r="J37" s="234">
        <f>IF(AND('Painel de Controle'!$D$12&gt;QD0!T37,'Painel de Controle'!$D$12&lt;QD0!U37),'Painel de Controle'!$D$12,IF(AND('Painel de Controle'!$D$14&gt;QD0!T37,'Painel de Controle'!$D$14&lt;QD0!U37),'Painel de Controle'!$D$14+1,0))</f>
        <v>0</v>
      </c>
      <c r="K37" s="235" t="str">
        <f t="shared" si="6"/>
        <v/>
      </c>
      <c r="L37" s="216">
        <f>IF(OR(AND(A37="",A38=""),AND(A37="Sim",A38=""),AND(A37="",A38="sim")),'Painel de Controle'!$H$8,'Painel de Controle'!$D$10)</f>
        <v>4.7525160660998287</v>
      </c>
      <c r="M37" s="214">
        <f t="shared" si="8"/>
        <v>0</v>
      </c>
      <c r="N37" s="473">
        <f>IF(AND('Painel de Controle'!$D$12&gt;QD0!T37,'Painel de Controle'!$D$12&lt;QD0!U37),'Painel de Controle'!$D$12,IF(AND('Painel de Controle'!$D$14&gt;QD0!T37,'Painel de Controle'!$D$14&lt;QD0!U37),'Painel de Controle'!$D$14+1,0))</f>
        <v>0</v>
      </c>
      <c r="O37" s="473" t="str">
        <f t="shared" si="9"/>
        <v/>
      </c>
      <c r="P37" s="335">
        <f t="shared" si="10"/>
        <v>4.7525160660998287</v>
      </c>
      <c r="R37" s="232" t="b">
        <f t="shared" si="7"/>
        <v>1</v>
      </c>
      <c r="T37" s="230">
        <v>51809</v>
      </c>
      <c r="U37" s="230">
        <v>52173</v>
      </c>
    </row>
    <row r="38" spans="1:52">
      <c r="A38" s="333" t="str">
        <f>IF(AND(B38&gt;'Painel de Controle'!$D$11-1,QD0!B38&lt;'Painel de Controle'!$D$13+1),"Sim","")</f>
        <v>Sim</v>
      </c>
      <c r="B38" s="211">
        <v>32</v>
      </c>
      <c r="C38" s="212" t="s">
        <v>424</v>
      </c>
      <c r="D38" s="216">
        <f t="shared" si="4"/>
        <v>4.7525160660998287</v>
      </c>
      <c r="E38" s="214">
        <f t="shared" si="11"/>
        <v>365</v>
      </c>
      <c r="F38" s="235">
        <v>52174</v>
      </c>
      <c r="G38" s="234">
        <f t="shared" si="2"/>
        <v>52538</v>
      </c>
      <c r="H38" s="216">
        <f>IF(OR(AND(A38="",A39=""),AND(A38="Sim",A39=""),AND(A38="",A39="sim")),'Painel de Controle'!$H$8,'Painel de Controle'!$D$10)</f>
        <v>4.7525160660998287</v>
      </c>
      <c r="I38" s="214">
        <f t="shared" si="12"/>
        <v>0</v>
      </c>
      <c r="J38" s="234">
        <f>IF(AND('Painel de Controle'!$D$12&gt;QD0!T38,'Painel de Controle'!$D$12&lt;QD0!U38),'Painel de Controle'!$D$12,IF(AND('Painel de Controle'!$D$14&gt;QD0!T38,'Painel de Controle'!$D$14&lt;QD0!U38),'Painel de Controle'!$D$14+1,0))</f>
        <v>0</v>
      </c>
      <c r="K38" s="235" t="str">
        <f t="shared" si="6"/>
        <v/>
      </c>
      <c r="L38" s="216">
        <f>IF(OR(AND(A38="",A39=""),AND(A38="Sim",A39=""),AND(A38="",A39="sim")),'Painel de Controle'!$H$8,'Painel de Controle'!$D$10)</f>
        <v>4.7525160660998287</v>
      </c>
      <c r="M38" s="214">
        <f t="shared" si="8"/>
        <v>0</v>
      </c>
      <c r="N38" s="473">
        <f>IF(AND('Painel de Controle'!$D$12&gt;QD0!T38,'Painel de Controle'!$D$12&lt;QD0!U38),'Painel de Controle'!$D$12,IF(AND('Painel de Controle'!$D$14&gt;QD0!T38,'Painel de Controle'!$D$14&lt;QD0!U38),'Painel de Controle'!$D$14+1,0))</f>
        <v>0</v>
      </c>
      <c r="O38" s="473" t="str">
        <f t="shared" si="9"/>
        <v/>
      </c>
      <c r="P38" s="335">
        <f t="shared" si="10"/>
        <v>4.7525160660998287</v>
      </c>
      <c r="R38" s="232" t="b">
        <f t="shared" si="7"/>
        <v>1</v>
      </c>
      <c r="T38" s="229">
        <v>52174</v>
      </c>
      <c r="U38" s="229">
        <v>52538</v>
      </c>
    </row>
    <row r="39" spans="1:52">
      <c r="A39" s="333" t="str">
        <f>IF(AND(B39&gt;'Painel de Controle'!$D$11-1,QD0!B39&lt;'Painel de Controle'!$D$13+1),"Sim","")</f>
        <v>Sim</v>
      </c>
      <c r="B39" s="224">
        <v>33</v>
      </c>
      <c r="C39" s="225" t="s">
        <v>424</v>
      </c>
      <c r="D39" s="216">
        <f t="shared" si="4"/>
        <v>4.7525160660998287</v>
      </c>
      <c r="E39" s="226">
        <f t="shared" si="11"/>
        <v>366</v>
      </c>
      <c r="F39" s="236">
        <v>52539</v>
      </c>
      <c r="G39" s="234">
        <f t="shared" si="2"/>
        <v>52904</v>
      </c>
      <c r="H39" s="216">
        <f>IF(OR(AND(A39="",A40=""),AND(A39="Sim",A40=""),AND(A39="",A40="sim")),'Painel de Controle'!$H$8,'Painel de Controle'!$D$10)</f>
        <v>4.7525160660998287</v>
      </c>
      <c r="I39" s="227">
        <f t="shared" si="12"/>
        <v>0</v>
      </c>
      <c r="J39" s="234">
        <f>IF(AND('Painel de Controle'!$D$12&gt;QD0!T39,'Painel de Controle'!$D$12&lt;QD0!U39),'Painel de Controle'!$D$12,IF(AND('Painel de Controle'!$D$14&gt;QD0!T39,'Painel de Controle'!$D$14&lt;QD0!U39),'Painel de Controle'!$D$14+1,0))</f>
        <v>0</v>
      </c>
      <c r="K39" s="235" t="str">
        <f t="shared" si="6"/>
        <v/>
      </c>
      <c r="L39" s="216">
        <f>IF(OR(AND(A39="",A40=""),AND(A39="Sim",A40=""),AND(A39="",A40="sim")),'Painel de Controle'!$H$8,'Painel de Controle'!$D$10)</f>
        <v>4.7525160660998287</v>
      </c>
      <c r="M39" s="214">
        <f t="shared" si="8"/>
        <v>0</v>
      </c>
      <c r="N39" s="473">
        <f>IF(AND('Painel de Controle'!$D$12&gt;QD0!T39,'Painel de Controle'!$D$12&lt;QD0!U39),'Painel de Controle'!$D$12,IF(AND('Painel de Controle'!$D$14&gt;QD0!T39,'Painel de Controle'!$D$14&lt;QD0!U39),'Painel de Controle'!$D$14+1,0))</f>
        <v>0</v>
      </c>
      <c r="O39" s="473" t="str">
        <f t="shared" si="9"/>
        <v/>
      </c>
      <c r="P39" s="335">
        <f t="shared" si="10"/>
        <v>4.7525160660998287</v>
      </c>
      <c r="R39" s="232" t="b">
        <f>E39+I39+M39=366</f>
        <v>1</v>
      </c>
      <c r="T39" s="230">
        <v>52539</v>
      </c>
      <c r="U39" s="230">
        <v>52904</v>
      </c>
    </row>
    <row r="40" spans="1:52">
      <c r="A40" s="333" t="str">
        <f>IF(AND(B40&gt;'Painel de Controle'!$D$11-1,QD0!B40&lt;'Painel de Controle'!$D$13+1),"Sim","")</f>
        <v>Sim</v>
      </c>
      <c r="B40" s="211">
        <v>34</v>
      </c>
      <c r="C40" s="212" t="s">
        <v>424</v>
      </c>
      <c r="D40" s="216">
        <f t="shared" si="4"/>
        <v>4.7525160660998287</v>
      </c>
      <c r="E40" s="214">
        <f t="shared" si="11"/>
        <v>365</v>
      </c>
      <c r="F40" s="235">
        <v>52905</v>
      </c>
      <c r="G40" s="234">
        <f t="shared" si="2"/>
        <v>53269</v>
      </c>
      <c r="H40" s="216">
        <f>IF(OR(AND(A40="",A41=""),AND(A40="Sim",A41=""),AND(A40="",A41="sim")),'Painel de Controle'!$H$8,'Painel de Controle'!$D$10)</f>
        <v>4.7525160660998287</v>
      </c>
      <c r="I40" s="214">
        <f t="shared" si="12"/>
        <v>0</v>
      </c>
      <c r="J40" s="234">
        <f>IF(AND('Painel de Controle'!$D$12&gt;QD0!T40,'Painel de Controle'!$D$12&lt;QD0!U40),'Painel de Controle'!$D$12,IF(AND('Painel de Controle'!$D$14&gt;QD0!T40,'Painel de Controle'!$D$14&lt;QD0!U40),'Painel de Controle'!$D$14+1,0))</f>
        <v>0</v>
      </c>
      <c r="K40" s="235" t="str">
        <f t="shared" si="6"/>
        <v/>
      </c>
      <c r="L40" s="216">
        <f>IF(OR(AND(A40="",A41=""),AND(A40="Sim",A41=""),AND(A40="",A41="sim")),'Painel de Controle'!$H$8,'Painel de Controle'!$D$10)</f>
        <v>4.7525160660998287</v>
      </c>
      <c r="M40" s="214">
        <f t="shared" si="8"/>
        <v>0</v>
      </c>
      <c r="N40" s="473">
        <f>IF(AND('Painel de Controle'!$D$12&gt;QD0!T40,'Painel de Controle'!$D$12&lt;QD0!U40),'Painel de Controle'!$D$12,IF(AND('Painel de Controle'!$D$14&gt;QD0!T40,'Painel de Controle'!$D$14&lt;QD0!U40),'Painel de Controle'!$D$14+1,0))</f>
        <v>0</v>
      </c>
      <c r="O40" s="473" t="str">
        <f t="shared" si="9"/>
        <v/>
      </c>
      <c r="P40" s="335">
        <f t="shared" si="10"/>
        <v>4.7525160660998287</v>
      </c>
      <c r="R40" s="232" t="b">
        <f t="shared" si="7"/>
        <v>1</v>
      </c>
      <c r="T40" s="229">
        <v>52905</v>
      </c>
      <c r="U40" s="229">
        <v>53269</v>
      </c>
    </row>
    <row r="41" spans="1:52">
      <c r="A41" s="333" t="str">
        <f>IF(AND(B41&gt;'Painel de Controle'!$D$11-1,QD0!B41&lt;'Painel de Controle'!$D$13+1),"Sim","")</f>
        <v>Sim</v>
      </c>
      <c r="B41" s="224">
        <v>35</v>
      </c>
      <c r="C41" s="225" t="s">
        <v>424</v>
      </c>
      <c r="D41" s="216">
        <f t="shared" si="4"/>
        <v>4.7525160660998287</v>
      </c>
      <c r="E41" s="226">
        <f t="shared" si="11"/>
        <v>365</v>
      </c>
      <c r="F41" s="236">
        <v>53270</v>
      </c>
      <c r="G41" s="234">
        <f t="shared" si="2"/>
        <v>53634</v>
      </c>
      <c r="H41" s="216">
        <f>IF(OR(AND(A41="",A42=""),AND(A41="Sim",A42=""),AND(A41="",A42="sim")),'Painel de Controle'!$H$8,'Painel de Controle'!$D$10)</f>
        <v>4.9375608950411713</v>
      </c>
      <c r="I41" s="227">
        <f t="shared" si="12"/>
        <v>0</v>
      </c>
      <c r="J41" s="234">
        <f>IF(AND('Painel de Controle'!$D$12&gt;QD0!T41,'Painel de Controle'!$D$12&lt;QD0!U41),'Painel de Controle'!$D$12,IF(AND('Painel de Controle'!$D$14&gt;QD0!T41,'Painel de Controle'!$D$14&lt;QD0!U41),'Painel de Controle'!$D$14+1,0))</f>
        <v>0</v>
      </c>
      <c r="K41" s="235" t="str">
        <f t="shared" si="6"/>
        <v/>
      </c>
      <c r="L41" s="216">
        <f>IF(OR(AND(A41="",A42=""),AND(A41="Sim",A42=""),AND(A41="",A42="sim")),'Painel de Controle'!$H$8,'Painel de Controle'!$D$10)</f>
        <v>4.9375608950411713</v>
      </c>
      <c r="M41" s="214">
        <f t="shared" si="8"/>
        <v>0</v>
      </c>
      <c r="N41" s="473">
        <f>IF(AND('Painel de Controle'!$D$12&gt;QD0!T41,'Painel de Controle'!$D$12&lt;QD0!U41),'Painel de Controle'!$D$12,IF(AND('Painel de Controle'!$D$14&gt;QD0!T41,'Painel de Controle'!$D$14&lt;QD0!U41),'Painel de Controle'!$D$14+1,0))</f>
        <v>0</v>
      </c>
      <c r="O41" s="473" t="str">
        <f t="shared" si="9"/>
        <v/>
      </c>
      <c r="P41" s="335">
        <f t="shared" si="10"/>
        <v>4.7525160660998287</v>
      </c>
      <c r="R41" s="232" t="b">
        <f t="shared" si="7"/>
        <v>1</v>
      </c>
      <c r="T41" s="230">
        <v>53270</v>
      </c>
      <c r="U41" s="230">
        <v>53634</v>
      </c>
    </row>
    <row r="42" spans="1:52">
      <c r="A42" s="182"/>
      <c r="H42" s="184"/>
      <c r="I42" s="184"/>
      <c r="J42" s="184"/>
      <c r="K42" s="184"/>
      <c r="L42" s="184"/>
      <c r="M42" s="184"/>
      <c r="N42" s="184"/>
      <c r="O42" s="184"/>
      <c r="P42" s="184"/>
      <c r="Q42" s="184"/>
      <c r="S42" s="184"/>
      <c r="T42" s="184"/>
      <c r="U42" s="184"/>
      <c r="V42" s="184"/>
      <c r="W42" s="184"/>
      <c r="X42" s="184"/>
      <c r="Y42" s="184"/>
      <c r="Z42" s="184"/>
      <c r="AA42" s="184"/>
      <c r="AB42" s="184"/>
      <c r="AC42" s="184"/>
      <c r="AD42" s="184"/>
      <c r="AE42" s="184"/>
      <c r="AF42" s="184"/>
      <c r="AG42" s="184"/>
      <c r="AH42" s="184"/>
      <c r="AI42" s="184"/>
      <c r="AJ42" s="184"/>
      <c r="AK42" s="184"/>
      <c r="AL42" s="184"/>
      <c r="AM42" s="184"/>
      <c r="AN42" s="184"/>
      <c r="AO42" s="184"/>
      <c r="AP42" s="184"/>
      <c r="AQ42" s="184"/>
      <c r="AR42" s="184"/>
      <c r="AS42" s="184"/>
      <c r="AT42" s="184"/>
      <c r="AU42" s="184"/>
      <c r="AV42" s="184"/>
      <c r="AW42" s="184"/>
      <c r="AX42" s="184"/>
    </row>
    <row r="43" spans="1:52">
      <c r="A43" s="182"/>
    </row>
    <row r="44" spans="1:52" s="186" customFormat="1" ht="12.95" customHeight="1">
      <c r="A44" s="185"/>
      <c r="B44" s="187"/>
      <c r="C44" s="187"/>
      <c r="D44" s="187"/>
      <c r="E44" s="189"/>
      <c r="F44" s="190" t="str">
        <f>IF(E44=0," ",E44/#REF!-1)</f>
        <v xml:space="preserve"> </v>
      </c>
      <c r="G44" s="190"/>
      <c r="H44" s="194" t="str">
        <f>IF(E44=0," ",E44/#REF!-1)</f>
        <v xml:space="preserve"> </v>
      </c>
      <c r="I44" s="194" t="str">
        <f>IF(E44=0," ",E44/#REF!-1)</f>
        <v xml:space="preserve"> </v>
      </c>
      <c r="J44" s="195"/>
      <c r="K44" s="195"/>
      <c r="L44" s="195"/>
      <c r="M44" s="195"/>
      <c r="N44" s="195"/>
      <c r="O44" s="195"/>
      <c r="P44" s="195"/>
      <c r="Q44" s="195"/>
      <c r="R44" s="195"/>
      <c r="S44" s="189" t="str">
        <f>IF(E44=0," ",IF(#REF!=1,E44*#REF!,E44*#REF!))</f>
        <v xml:space="preserve"> </v>
      </c>
      <c r="T44" s="182"/>
      <c r="U44" s="182" t="str">
        <f t="shared" ref="U44:U80" si="13">IF(S44=" "," ",ROUND(S44,1))</f>
        <v xml:space="preserve"> </v>
      </c>
      <c r="V44" s="182"/>
      <c r="W44" s="182" t="str">
        <f>IF(OR(S44=" ",S44=0)," ",S44/#REF!-1)</f>
        <v xml:space="preserve"> </v>
      </c>
      <c r="X44" s="182" t="str">
        <f>IF(U44=" "," ",U44/#REF!-1)</f>
        <v xml:space="preserve"> </v>
      </c>
      <c r="Y44" s="182"/>
      <c r="Z44" s="182"/>
      <c r="AA44" s="182"/>
      <c r="AB44" s="182"/>
      <c r="AC44" s="182"/>
      <c r="AD44" s="182"/>
      <c r="AE44" s="182"/>
      <c r="AF44" s="182"/>
      <c r="AG44" s="182"/>
      <c r="AH44" s="182"/>
      <c r="AI44" s="182"/>
      <c r="AJ44" s="182"/>
      <c r="AK44" s="182"/>
      <c r="AL44" s="182"/>
      <c r="AM44" s="182"/>
      <c r="AN44" s="182"/>
      <c r="AO44" s="182"/>
      <c r="AP44" s="182"/>
      <c r="AQ44" s="182"/>
      <c r="AR44" s="182"/>
      <c r="AS44" s="182"/>
      <c r="AT44" s="182"/>
      <c r="AU44" s="182"/>
      <c r="AV44" s="182"/>
      <c r="AW44" s="182"/>
      <c r="AX44" s="191" t="str">
        <f t="shared" ref="AX44:AX80" si="14">IF(E44=0,"",ROUND(S44,1))</f>
        <v/>
      </c>
      <c r="AY44" s="192" t="str">
        <f>IF(E44=0,"",AX44/#REF!-1)</f>
        <v/>
      </c>
      <c r="AZ44" s="193" t="str">
        <f>IF(E44=0,"",AX44/#REF!-1)</f>
        <v/>
      </c>
    </row>
    <row r="45" spans="1:52" s="186" customFormat="1" ht="12.95" customHeight="1">
      <c r="A45" s="185"/>
      <c r="B45" s="187"/>
      <c r="C45" s="187"/>
      <c r="D45" s="187"/>
      <c r="E45" s="189"/>
      <c r="F45" s="190" t="str">
        <f t="shared" ref="F45:F80" si="15">IF(E45=0," ",E45/E44-1)</f>
        <v xml:space="preserve"> </v>
      </c>
      <c r="G45" s="190"/>
      <c r="H45" s="194" t="str">
        <f>IF(E45=0," ",E45/#REF!-1)</f>
        <v xml:space="preserve"> </v>
      </c>
      <c r="I45" s="194" t="str">
        <f>IF(E45=0," ",E45/#REF!-1)</f>
        <v xml:space="preserve"> </v>
      </c>
      <c r="J45" s="195"/>
      <c r="K45" s="195"/>
      <c r="L45" s="195"/>
      <c r="M45" s="195"/>
      <c r="N45" s="195"/>
      <c r="O45" s="195"/>
      <c r="P45" s="195"/>
      <c r="Q45" s="195"/>
      <c r="R45" s="195"/>
      <c r="S45" s="189" t="str">
        <f>IF(E45=0," ",IF(#REF!=1,E45*#REF!,E45*#REF!))</f>
        <v xml:space="preserve"> </v>
      </c>
      <c r="T45" s="182"/>
      <c r="U45" s="182" t="str">
        <f t="shared" si="13"/>
        <v xml:space="preserve"> </v>
      </c>
      <c r="V45" s="182"/>
      <c r="W45" s="182" t="str">
        <f>IF(OR(S45=" ",S45=0)," ",S45/#REF!-1)</f>
        <v xml:space="preserve"> </v>
      </c>
      <c r="X45" s="182" t="str">
        <f>IF(U45=" "," ",U45/#REF!-1)</f>
        <v xml:space="preserve"> </v>
      </c>
      <c r="Y45" s="182"/>
      <c r="Z45" s="182"/>
      <c r="AA45" s="182"/>
      <c r="AB45" s="182"/>
      <c r="AC45" s="182"/>
      <c r="AD45" s="182"/>
      <c r="AE45" s="182"/>
      <c r="AF45" s="182"/>
      <c r="AG45" s="182"/>
      <c r="AH45" s="182"/>
      <c r="AI45" s="182"/>
      <c r="AJ45" s="182"/>
      <c r="AK45" s="182"/>
      <c r="AL45" s="182"/>
      <c r="AM45" s="182"/>
      <c r="AN45" s="182"/>
      <c r="AO45" s="182"/>
      <c r="AP45" s="182"/>
      <c r="AQ45" s="182"/>
      <c r="AR45" s="182"/>
      <c r="AS45" s="182"/>
      <c r="AT45" s="182"/>
      <c r="AU45" s="182"/>
      <c r="AV45" s="182"/>
      <c r="AW45" s="182"/>
      <c r="AX45" s="191" t="str">
        <f t="shared" si="14"/>
        <v/>
      </c>
      <c r="AY45" s="192" t="str">
        <f t="shared" ref="AY45:AY80" si="16">IF(E45=0,"",AX45/AX44-1)</f>
        <v/>
      </c>
      <c r="AZ45" s="193" t="str">
        <f>IF(E45=0,"",AX45/#REF!-1)</f>
        <v/>
      </c>
    </row>
    <row r="46" spans="1:52" s="186" customFormat="1" ht="12.95" customHeight="1">
      <c r="A46" s="185"/>
      <c r="B46" s="187"/>
      <c r="C46" s="187"/>
      <c r="D46" s="187"/>
      <c r="E46" s="189"/>
      <c r="F46" s="190" t="str">
        <f t="shared" si="15"/>
        <v xml:space="preserve"> </v>
      </c>
      <c r="G46" s="190"/>
      <c r="H46" s="194" t="str">
        <f>IF(E46=0," ",E46/#REF!-1)</f>
        <v xml:space="preserve"> </v>
      </c>
      <c r="I46" s="194" t="str">
        <f>IF(E46=0," ",E46/#REF!-1)</f>
        <v xml:space="preserve"> </v>
      </c>
      <c r="J46" s="195"/>
      <c r="K46" s="195"/>
      <c r="L46" s="195"/>
      <c r="M46" s="195"/>
      <c r="N46" s="195"/>
      <c r="O46" s="195"/>
      <c r="P46" s="195"/>
      <c r="Q46" s="195"/>
      <c r="R46" s="195"/>
      <c r="S46" s="189" t="str">
        <f>IF(E46=0," ",IF(#REF!=1,E46*#REF!,E46*#REF!))</f>
        <v xml:space="preserve"> </v>
      </c>
      <c r="T46" s="182"/>
      <c r="U46" s="182" t="str">
        <f t="shared" si="13"/>
        <v xml:space="preserve"> </v>
      </c>
      <c r="V46" s="182"/>
      <c r="W46" s="182" t="str">
        <f>IF(OR(S46=" ",S46=0)," ",S46/#REF!-1)</f>
        <v xml:space="preserve"> </v>
      </c>
      <c r="X46" s="182" t="str">
        <f>IF(U46=" "," ",U46/#REF!-1)</f>
        <v xml:space="preserve"> </v>
      </c>
      <c r="Y46" s="182"/>
      <c r="Z46" s="182"/>
      <c r="AA46" s="182"/>
      <c r="AB46" s="182"/>
      <c r="AC46" s="182"/>
      <c r="AD46" s="182"/>
      <c r="AE46" s="182"/>
      <c r="AF46" s="182"/>
      <c r="AG46" s="182"/>
      <c r="AH46" s="182"/>
      <c r="AI46" s="182"/>
      <c r="AJ46" s="182"/>
      <c r="AK46" s="182"/>
      <c r="AL46" s="182"/>
      <c r="AM46" s="182"/>
      <c r="AN46" s="182"/>
      <c r="AO46" s="182"/>
      <c r="AP46" s="182"/>
      <c r="AQ46" s="182"/>
      <c r="AR46" s="182"/>
      <c r="AS46" s="182"/>
      <c r="AT46" s="182"/>
      <c r="AU46" s="182"/>
      <c r="AV46" s="182"/>
      <c r="AW46" s="182"/>
      <c r="AX46" s="191" t="str">
        <f t="shared" si="14"/>
        <v/>
      </c>
      <c r="AY46" s="192" t="str">
        <f t="shared" si="16"/>
        <v/>
      </c>
      <c r="AZ46" s="193" t="str">
        <f>IF(E46=0,"",AX46/#REF!-1)</f>
        <v/>
      </c>
    </row>
    <row r="47" spans="1:52" s="186" customFormat="1" ht="12.95" customHeight="1">
      <c r="A47" s="185"/>
      <c r="B47" s="187"/>
      <c r="C47" s="187"/>
      <c r="D47" s="187"/>
      <c r="E47" s="189"/>
      <c r="F47" s="190" t="str">
        <f t="shared" si="15"/>
        <v xml:space="preserve"> </v>
      </c>
      <c r="G47" s="190"/>
      <c r="H47" s="194" t="str">
        <f>IF(E47=0," ",E47/#REF!-1)</f>
        <v xml:space="preserve"> </v>
      </c>
      <c r="I47" s="194" t="str">
        <f>IF(E47=0," ",E47/#REF!-1)</f>
        <v xml:space="preserve"> </v>
      </c>
      <c r="J47" s="195"/>
      <c r="K47" s="195"/>
      <c r="L47" s="195"/>
      <c r="M47" s="195"/>
      <c r="N47" s="195"/>
      <c r="O47" s="195"/>
      <c r="P47" s="195"/>
      <c r="Q47" s="195"/>
      <c r="R47" s="195"/>
      <c r="S47" s="189" t="str">
        <f>IF(E47=0," ",IF(#REF!=1,E47*#REF!,E47*#REF!))</f>
        <v xml:space="preserve"> </v>
      </c>
      <c r="T47" s="182"/>
      <c r="U47" s="182" t="str">
        <f t="shared" si="13"/>
        <v xml:space="preserve"> </v>
      </c>
      <c r="V47" s="182"/>
      <c r="W47" s="182" t="str">
        <f>IF(OR(S47=" ",S47=0)," ",S47/#REF!-1)</f>
        <v xml:space="preserve"> </v>
      </c>
      <c r="X47" s="182" t="str">
        <f>IF(U47=" "," ",U47/#REF!-1)</f>
        <v xml:space="preserve"> </v>
      </c>
      <c r="Y47" s="182"/>
      <c r="Z47" s="182"/>
      <c r="AA47" s="182"/>
      <c r="AB47" s="182"/>
      <c r="AC47" s="182"/>
      <c r="AD47" s="182"/>
      <c r="AE47" s="182"/>
      <c r="AF47" s="182"/>
      <c r="AG47" s="182"/>
      <c r="AH47" s="182"/>
      <c r="AI47" s="182"/>
      <c r="AJ47" s="182"/>
      <c r="AK47" s="182"/>
      <c r="AL47" s="182"/>
      <c r="AM47" s="182"/>
      <c r="AN47" s="182"/>
      <c r="AO47" s="182"/>
      <c r="AP47" s="182"/>
      <c r="AQ47" s="182"/>
      <c r="AR47" s="182"/>
      <c r="AS47" s="182"/>
      <c r="AT47" s="182"/>
      <c r="AU47" s="182"/>
      <c r="AV47" s="182"/>
      <c r="AW47" s="182"/>
      <c r="AX47" s="191" t="str">
        <f t="shared" si="14"/>
        <v/>
      </c>
      <c r="AY47" s="192" t="str">
        <f t="shared" si="16"/>
        <v/>
      </c>
      <c r="AZ47" s="193" t="str">
        <f>IF(E47=0,"",AX47/#REF!-1)</f>
        <v/>
      </c>
    </row>
    <row r="48" spans="1:52" s="186" customFormat="1" ht="12.95" customHeight="1">
      <c r="A48" s="185"/>
      <c r="B48" s="187"/>
      <c r="C48" s="187"/>
      <c r="D48" s="187"/>
      <c r="E48" s="189"/>
      <c r="F48" s="190" t="str">
        <f t="shared" si="15"/>
        <v xml:space="preserve"> </v>
      </c>
      <c r="G48" s="190"/>
      <c r="H48" s="194" t="str">
        <f>IF(E48=0," ",E48/#REF!-1)</f>
        <v xml:space="preserve"> </v>
      </c>
      <c r="I48" s="194" t="str">
        <f>IF(E48=0," ",E48/#REF!-1)</f>
        <v xml:space="preserve"> </v>
      </c>
      <c r="J48" s="195"/>
      <c r="K48" s="195"/>
      <c r="L48" s="195"/>
      <c r="M48" s="195"/>
      <c r="N48" s="195"/>
      <c r="O48" s="195"/>
      <c r="P48" s="195"/>
      <c r="Q48" s="195"/>
      <c r="R48" s="195"/>
      <c r="S48" s="189" t="str">
        <f>IF(E48=0," ",IF(#REF!=1,E48*#REF!,E48*#REF!))</f>
        <v xml:space="preserve"> </v>
      </c>
      <c r="T48" s="182"/>
      <c r="U48" s="182" t="str">
        <f t="shared" si="13"/>
        <v xml:space="preserve"> </v>
      </c>
      <c r="V48" s="182"/>
      <c r="W48" s="182" t="str">
        <f>IF(OR(S48=" ",S48=0)," ",S48/#REF!-1)</f>
        <v xml:space="preserve"> </v>
      </c>
      <c r="X48" s="182" t="str">
        <f>IF(U48=" "," ",U48/#REF!-1)</f>
        <v xml:space="preserve"> </v>
      </c>
      <c r="Y48" s="182"/>
      <c r="Z48" s="182"/>
      <c r="AA48" s="182"/>
      <c r="AB48" s="182"/>
      <c r="AC48" s="182"/>
      <c r="AD48" s="182"/>
      <c r="AE48" s="182"/>
      <c r="AF48" s="182"/>
      <c r="AG48" s="182"/>
      <c r="AH48" s="182"/>
      <c r="AI48" s="182"/>
      <c r="AJ48" s="182"/>
      <c r="AK48" s="182"/>
      <c r="AL48" s="182"/>
      <c r="AM48" s="182"/>
      <c r="AN48" s="182"/>
      <c r="AO48" s="182"/>
      <c r="AP48" s="182"/>
      <c r="AQ48" s="182"/>
      <c r="AR48" s="182"/>
      <c r="AS48" s="182"/>
      <c r="AT48" s="182"/>
      <c r="AU48" s="182"/>
      <c r="AV48" s="182"/>
      <c r="AW48" s="182"/>
      <c r="AX48" s="191" t="str">
        <f t="shared" si="14"/>
        <v/>
      </c>
      <c r="AY48" s="192" t="str">
        <f t="shared" si="16"/>
        <v/>
      </c>
      <c r="AZ48" s="193" t="str">
        <f>IF(E48=0,"",AX48/#REF!-1)</f>
        <v/>
      </c>
    </row>
    <row r="49" spans="1:52" s="186" customFormat="1" ht="12.95" customHeight="1">
      <c r="A49" s="185"/>
      <c r="B49" s="187"/>
      <c r="C49" s="187"/>
      <c r="D49" s="187"/>
      <c r="E49" s="189"/>
      <c r="F49" s="190" t="str">
        <f t="shared" si="15"/>
        <v xml:space="preserve"> </v>
      </c>
      <c r="G49" s="190"/>
      <c r="H49" s="194" t="str">
        <f>IF(E49=0," ",E49/#REF!-1)</f>
        <v xml:space="preserve"> </v>
      </c>
      <c r="I49" s="194" t="str">
        <f>IF(E49=0," ",E49/#REF!-1)</f>
        <v xml:space="preserve"> </v>
      </c>
      <c r="J49" s="195"/>
      <c r="K49" s="195"/>
      <c r="L49" s="195"/>
      <c r="M49" s="195"/>
      <c r="N49" s="195"/>
      <c r="O49" s="195"/>
      <c r="P49" s="195"/>
      <c r="Q49" s="195"/>
      <c r="R49" s="195"/>
      <c r="S49" s="189" t="str">
        <f>IF(E49=0," ",IF(#REF!=1,E49*#REF!,E49*#REF!))</f>
        <v xml:space="preserve"> </v>
      </c>
      <c r="T49" s="182"/>
      <c r="U49" s="182" t="str">
        <f t="shared" si="13"/>
        <v xml:space="preserve"> </v>
      </c>
      <c r="V49" s="182"/>
      <c r="W49" s="182" t="str">
        <f>IF(OR(S49=" ",S49=0)," ",S49/#REF!-1)</f>
        <v xml:space="preserve"> </v>
      </c>
      <c r="X49" s="182" t="str">
        <f>IF(U49=" "," ",U49/#REF!-1)</f>
        <v xml:space="preserve"> </v>
      </c>
      <c r="Y49" s="182"/>
      <c r="Z49" s="182"/>
      <c r="AA49" s="182"/>
      <c r="AB49" s="182"/>
      <c r="AC49" s="182"/>
      <c r="AD49" s="182"/>
      <c r="AE49" s="182"/>
      <c r="AF49" s="182"/>
      <c r="AG49" s="182"/>
      <c r="AH49" s="182"/>
      <c r="AI49" s="182"/>
      <c r="AJ49" s="182"/>
      <c r="AK49" s="182"/>
      <c r="AL49" s="182"/>
      <c r="AM49" s="182"/>
      <c r="AN49" s="182"/>
      <c r="AO49" s="182"/>
      <c r="AP49" s="182"/>
      <c r="AQ49" s="182"/>
      <c r="AR49" s="182"/>
      <c r="AS49" s="182"/>
      <c r="AT49" s="182"/>
      <c r="AU49" s="182"/>
      <c r="AV49" s="182"/>
      <c r="AW49" s="182"/>
      <c r="AX49" s="191" t="str">
        <f t="shared" si="14"/>
        <v/>
      </c>
      <c r="AY49" s="192" t="str">
        <f t="shared" si="16"/>
        <v/>
      </c>
      <c r="AZ49" s="193" t="str">
        <f>IF(E49=0,"",AX49/#REF!-1)</f>
        <v/>
      </c>
    </row>
    <row r="50" spans="1:52" s="186" customFormat="1" ht="12.95" customHeight="1">
      <c r="A50" s="185"/>
      <c r="B50" s="187"/>
      <c r="C50" s="187"/>
      <c r="D50" s="187"/>
      <c r="E50" s="189"/>
      <c r="F50" s="190" t="str">
        <f t="shared" si="15"/>
        <v xml:space="preserve"> </v>
      </c>
      <c r="G50" s="190"/>
      <c r="H50" s="194" t="str">
        <f>IF(E50=0," ",E50/#REF!-1)</f>
        <v xml:space="preserve"> </v>
      </c>
      <c r="I50" s="194" t="str">
        <f>IF(E50=0," ",E50/#REF!-1)</f>
        <v xml:space="preserve"> </v>
      </c>
      <c r="J50" s="195"/>
      <c r="K50" s="195"/>
      <c r="L50" s="195"/>
      <c r="M50" s="195"/>
      <c r="N50" s="195"/>
      <c r="O50" s="195"/>
      <c r="P50" s="195"/>
      <c r="Q50" s="195"/>
      <c r="R50" s="195"/>
      <c r="S50" s="189" t="str">
        <f>IF(E50=0," ",IF(#REF!=1,E50*#REF!,E50*#REF!))</f>
        <v xml:space="preserve"> </v>
      </c>
      <c r="T50" s="182"/>
      <c r="U50" s="182" t="str">
        <f t="shared" si="13"/>
        <v xml:space="preserve"> </v>
      </c>
      <c r="V50" s="182"/>
      <c r="W50" s="182" t="str">
        <f>IF(OR(S50=" ",S50=0)," ",S50/#REF!-1)</f>
        <v xml:space="preserve"> </v>
      </c>
      <c r="X50" s="182" t="str">
        <f>IF(U50=" "," ",U50/#REF!-1)</f>
        <v xml:space="preserve"> </v>
      </c>
      <c r="Y50" s="182"/>
      <c r="Z50" s="182"/>
      <c r="AA50" s="182"/>
      <c r="AB50" s="182"/>
      <c r="AC50" s="182"/>
      <c r="AD50" s="182"/>
      <c r="AE50" s="182"/>
      <c r="AF50" s="182"/>
      <c r="AG50" s="182"/>
      <c r="AH50" s="182"/>
      <c r="AI50" s="182"/>
      <c r="AJ50" s="182"/>
      <c r="AK50" s="182"/>
      <c r="AL50" s="182"/>
      <c r="AM50" s="182"/>
      <c r="AN50" s="182"/>
      <c r="AO50" s="182"/>
      <c r="AP50" s="182"/>
      <c r="AQ50" s="182"/>
      <c r="AR50" s="182"/>
      <c r="AS50" s="182"/>
      <c r="AT50" s="182"/>
      <c r="AU50" s="182"/>
      <c r="AV50" s="182"/>
      <c r="AW50" s="182"/>
      <c r="AX50" s="191" t="str">
        <f t="shared" si="14"/>
        <v/>
      </c>
      <c r="AY50" s="192" t="str">
        <f t="shared" si="16"/>
        <v/>
      </c>
      <c r="AZ50" s="193" t="str">
        <f>IF(E50=0,"",AX50/#REF!-1)</f>
        <v/>
      </c>
    </row>
    <row r="51" spans="1:52" s="186" customFormat="1" ht="12.95" customHeight="1">
      <c r="A51" s="185"/>
      <c r="B51" s="187"/>
      <c r="C51" s="187"/>
      <c r="D51" s="187"/>
      <c r="E51" s="189"/>
      <c r="F51" s="190" t="str">
        <f t="shared" si="15"/>
        <v xml:space="preserve"> </v>
      </c>
      <c r="G51" s="190"/>
      <c r="H51" s="194" t="str">
        <f>IF(E51=0," ",E51/#REF!-1)</f>
        <v xml:space="preserve"> </v>
      </c>
      <c r="I51" s="194" t="str">
        <f>IF(E51=0," ",E51/#REF!-1)</f>
        <v xml:space="preserve"> </v>
      </c>
      <c r="J51" s="195"/>
      <c r="K51" s="195"/>
      <c r="L51" s="195"/>
      <c r="M51" s="195"/>
      <c r="N51" s="195"/>
      <c r="O51" s="195"/>
      <c r="P51" s="195"/>
      <c r="Q51" s="195"/>
      <c r="R51" s="195"/>
      <c r="S51" s="189" t="str">
        <f>IF(E51=0," ",IF(#REF!=1,E51*#REF!,E51*#REF!))</f>
        <v xml:space="preserve"> </v>
      </c>
      <c r="T51" s="182"/>
      <c r="U51" s="182" t="str">
        <f t="shared" si="13"/>
        <v xml:space="preserve"> </v>
      </c>
      <c r="V51" s="182"/>
      <c r="W51" s="182" t="str">
        <f>IF(OR(S51=" ",S51=0)," ",S51/#REF!-1)</f>
        <v xml:space="preserve"> </v>
      </c>
      <c r="X51" s="182" t="str">
        <f>IF(U51=" "," ",U51/#REF!-1)</f>
        <v xml:space="preserve"> </v>
      </c>
      <c r="Y51" s="182"/>
      <c r="Z51" s="182"/>
      <c r="AA51" s="182"/>
      <c r="AB51" s="182"/>
      <c r="AC51" s="182"/>
      <c r="AD51" s="182"/>
      <c r="AE51" s="182"/>
      <c r="AF51" s="182"/>
      <c r="AG51" s="182"/>
      <c r="AH51" s="182"/>
      <c r="AI51" s="182"/>
      <c r="AJ51" s="182"/>
      <c r="AK51" s="182"/>
      <c r="AL51" s="182"/>
      <c r="AM51" s="182"/>
      <c r="AN51" s="182"/>
      <c r="AO51" s="182"/>
      <c r="AP51" s="182"/>
      <c r="AQ51" s="182"/>
      <c r="AR51" s="182"/>
      <c r="AS51" s="182"/>
      <c r="AT51" s="182"/>
      <c r="AU51" s="182"/>
      <c r="AV51" s="182"/>
      <c r="AW51" s="182"/>
      <c r="AX51" s="191" t="str">
        <f t="shared" si="14"/>
        <v/>
      </c>
      <c r="AY51" s="192" t="str">
        <f t="shared" si="16"/>
        <v/>
      </c>
      <c r="AZ51" s="193" t="str">
        <f>IF(E51=0,"",AX51/#REF!-1)</f>
        <v/>
      </c>
    </row>
    <row r="52" spans="1:52" s="186" customFormat="1" ht="12.95" customHeight="1">
      <c r="A52" s="185"/>
      <c r="B52" s="187"/>
      <c r="C52" s="187"/>
      <c r="D52" s="187"/>
      <c r="E52" s="189"/>
      <c r="F52" s="190" t="str">
        <f t="shared" si="15"/>
        <v xml:space="preserve"> </v>
      </c>
      <c r="G52" s="190"/>
      <c r="H52" s="194" t="str">
        <f>IF(E52=0," ",E52/#REF!-1)</f>
        <v xml:space="preserve"> </v>
      </c>
      <c r="I52" s="194" t="str">
        <f>IF(E52=0," ",E52/#REF!-1)</f>
        <v xml:space="preserve"> </v>
      </c>
      <c r="J52" s="195"/>
      <c r="K52" s="195"/>
      <c r="L52" s="195"/>
      <c r="M52" s="195"/>
      <c r="N52" s="195"/>
      <c r="O52" s="195"/>
      <c r="P52" s="195"/>
      <c r="Q52" s="195"/>
      <c r="R52" s="195"/>
      <c r="S52" s="189" t="str">
        <f>IF(E52=0," ",IF(#REF!=1,E52*#REF!,E52*#REF!))</f>
        <v xml:space="preserve"> </v>
      </c>
      <c r="T52" s="182"/>
      <c r="U52" s="182" t="str">
        <f t="shared" si="13"/>
        <v xml:space="preserve"> </v>
      </c>
      <c r="V52" s="182"/>
      <c r="W52" s="182" t="str">
        <f>IF(OR(S52=" ",S52=0)," ",S52/#REF!-1)</f>
        <v xml:space="preserve"> </v>
      </c>
      <c r="X52" s="182" t="str">
        <f>IF(U52=" "," ",U52/#REF!-1)</f>
        <v xml:space="preserve"> </v>
      </c>
      <c r="Y52" s="182"/>
      <c r="Z52" s="182"/>
      <c r="AA52" s="182"/>
      <c r="AB52" s="182"/>
      <c r="AC52" s="182"/>
      <c r="AD52" s="182"/>
      <c r="AE52" s="182"/>
      <c r="AF52" s="182"/>
      <c r="AG52" s="182"/>
      <c r="AH52" s="182"/>
      <c r="AI52" s="182"/>
      <c r="AJ52" s="182"/>
      <c r="AK52" s="182"/>
      <c r="AL52" s="182"/>
      <c r="AM52" s="182"/>
      <c r="AN52" s="182"/>
      <c r="AO52" s="182"/>
      <c r="AP52" s="182"/>
      <c r="AQ52" s="182"/>
      <c r="AR52" s="182"/>
      <c r="AS52" s="182"/>
      <c r="AT52" s="182"/>
      <c r="AU52" s="182"/>
      <c r="AV52" s="182"/>
      <c r="AW52" s="182"/>
      <c r="AX52" s="191" t="str">
        <f t="shared" si="14"/>
        <v/>
      </c>
      <c r="AY52" s="192" t="str">
        <f t="shared" si="16"/>
        <v/>
      </c>
      <c r="AZ52" s="193" t="str">
        <f>IF(E52=0,"",AX52/#REF!-1)</f>
        <v/>
      </c>
    </row>
    <row r="53" spans="1:52" s="186" customFormat="1" ht="12.95" customHeight="1">
      <c r="A53" s="185"/>
      <c r="B53" s="187"/>
      <c r="C53" s="187"/>
      <c r="D53" s="188"/>
      <c r="E53" s="189"/>
      <c r="F53" s="190" t="str">
        <f t="shared" si="15"/>
        <v xml:space="preserve"> </v>
      </c>
      <c r="G53" s="190"/>
      <c r="H53" s="194" t="str">
        <f t="shared" ref="H53:H80" si="17">IF(E53=0," ",E53/$E$52-1)</f>
        <v xml:space="preserve"> </v>
      </c>
      <c r="I53" s="194" t="str">
        <f>IF(E53=0," ",E53/#REF!-1)</f>
        <v xml:space="preserve"> </v>
      </c>
      <c r="J53" s="195"/>
      <c r="K53" s="195"/>
      <c r="L53" s="195"/>
      <c r="M53" s="195"/>
      <c r="N53" s="195"/>
      <c r="O53" s="195"/>
      <c r="P53" s="195"/>
      <c r="Q53" s="195"/>
      <c r="R53" s="195"/>
      <c r="S53" s="189" t="str">
        <f>IF(E53=0," ",IF(#REF!=1,E53*#REF!,E53*#REF!))</f>
        <v xml:space="preserve"> </v>
      </c>
      <c r="T53" s="182"/>
      <c r="U53" s="182" t="str">
        <f t="shared" si="13"/>
        <v xml:space="preserve"> </v>
      </c>
      <c r="V53" s="182"/>
      <c r="W53" s="182" t="str">
        <f>IF(OR(S53=" ",S53=0)," ",S53/#REF!-1)</f>
        <v xml:space="preserve"> </v>
      </c>
      <c r="X53" s="182" t="str">
        <f>IF(U53=" "," ",U53/#REF!-1)</f>
        <v xml:space="preserve"> </v>
      </c>
      <c r="Y53" s="182"/>
      <c r="Z53" s="182"/>
      <c r="AA53" s="182"/>
      <c r="AB53" s="182"/>
      <c r="AC53" s="182"/>
      <c r="AD53" s="182"/>
      <c r="AE53" s="182"/>
      <c r="AF53" s="182"/>
      <c r="AG53" s="182"/>
      <c r="AH53" s="182"/>
      <c r="AI53" s="182"/>
      <c r="AJ53" s="182"/>
      <c r="AK53" s="182"/>
      <c r="AL53" s="182"/>
      <c r="AM53" s="182"/>
      <c r="AN53" s="182"/>
      <c r="AO53" s="182"/>
      <c r="AP53" s="182"/>
      <c r="AQ53" s="182"/>
      <c r="AR53" s="182"/>
      <c r="AS53" s="182"/>
      <c r="AT53" s="182"/>
      <c r="AU53" s="182"/>
      <c r="AV53" s="182"/>
      <c r="AW53" s="182"/>
      <c r="AX53" s="191" t="str">
        <f t="shared" si="14"/>
        <v/>
      </c>
      <c r="AY53" s="192" t="str">
        <f t="shared" si="16"/>
        <v/>
      </c>
      <c r="AZ53" s="193" t="str">
        <f>IF(E53=0,"",AX53/#REF!-1)</f>
        <v/>
      </c>
    </row>
    <row r="54" spans="1:52" s="186" customFormat="1" ht="12.95" customHeight="1">
      <c r="A54" s="185"/>
      <c r="B54" s="187"/>
      <c r="C54" s="187"/>
      <c r="D54" s="188"/>
      <c r="E54" s="189"/>
      <c r="F54" s="190" t="str">
        <f t="shared" si="15"/>
        <v xml:space="preserve"> </v>
      </c>
      <c r="G54" s="190"/>
      <c r="H54" s="194" t="str">
        <f t="shared" si="17"/>
        <v xml:space="preserve"> </v>
      </c>
      <c r="I54" s="194" t="str">
        <f>IF(E54=0," ",E54/#REF!-1)</f>
        <v xml:space="preserve"> </v>
      </c>
      <c r="J54" s="195"/>
      <c r="K54" s="195"/>
      <c r="L54" s="195"/>
      <c r="M54" s="195"/>
      <c r="N54" s="195"/>
      <c r="O54" s="195"/>
      <c r="P54" s="195"/>
      <c r="Q54" s="195"/>
      <c r="R54" s="195"/>
      <c r="S54" s="189" t="str">
        <f>IF(E54=0," ",IF(#REF!=1,E54*#REF!,E54*#REF!))</f>
        <v xml:space="preserve"> </v>
      </c>
      <c r="T54" s="182"/>
      <c r="U54" s="182" t="str">
        <f t="shared" si="13"/>
        <v xml:space="preserve"> </v>
      </c>
      <c r="V54" s="182"/>
      <c r="W54" s="182" t="str">
        <f>IF(OR(S54=" ",S54=0)," ",S54/#REF!-1)</f>
        <v xml:space="preserve"> </v>
      </c>
      <c r="X54" s="182" t="str">
        <f>IF(U54=" "," ",U54/#REF!-1)</f>
        <v xml:space="preserve"> </v>
      </c>
      <c r="Y54" s="182"/>
      <c r="Z54" s="182"/>
      <c r="AA54" s="182"/>
      <c r="AB54" s="182"/>
      <c r="AC54" s="182"/>
      <c r="AD54" s="182"/>
      <c r="AE54" s="182"/>
      <c r="AF54" s="182"/>
      <c r="AG54" s="182"/>
      <c r="AH54" s="182"/>
      <c r="AI54" s="182"/>
      <c r="AJ54" s="182"/>
      <c r="AK54" s="182"/>
      <c r="AL54" s="182"/>
      <c r="AM54" s="182"/>
      <c r="AN54" s="182"/>
      <c r="AO54" s="182"/>
      <c r="AP54" s="182"/>
      <c r="AQ54" s="182"/>
      <c r="AR54" s="182"/>
      <c r="AS54" s="182"/>
      <c r="AT54" s="182"/>
      <c r="AU54" s="182"/>
      <c r="AV54" s="182"/>
      <c r="AW54" s="182"/>
      <c r="AX54" s="191" t="str">
        <f t="shared" si="14"/>
        <v/>
      </c>
      <c r="AY54" s="192" t="str">
        <f t="shared" si="16"/>
        <v/>
      </c>
      <c r="AZ54" s="193" t="str">
        <f>IF(E54=0,"",AX54/#REF!-1)</f>
        <v/>
      </c>
    </row>
    <row r="55" spans="1:52" s="186" customFormat="1" ht="12.95" customHeight="1">
      <c r="A55" s="185"/>
      <c r="B55" s="187"/>
      <c r="C55" s="187"/>
      <c r="D55" s="188"/>
      <c r="E55" s="189"/>
      <c r="F55" s="190" t="str">
        <f t="shared" si="15"/>
        <v xml:space="preserve"> </v>
      </c>
      <c r="G55" s="190"/>
      <c r="H55" s="194" t="str">
        <f t="shared" si="17"/>
        <v xml:space="preserve"> </v>
      </c>
      <c r="I55" s="194" t="str">
        <f>IF(E55=0," ",E55/#REF!-1)</f>
        <v xml:space="preserve"> </v>
      </c>
      <c r="J55" s="195"/>
      <c r="K55" s="195"/>
      <c r="L55" s="195"/>
      <c r="M55" s="195"/>
      <c r="N55" s="195"/>
      <c r="O55" s="195"/>
      <c r="P55" s="195"/>
      <c r="Q55" s="195"/>
      <c r="R55" s="195"/>
      <c r="S55" s="189" t="str">
        <f>IF(E55=0," ",IF(#REF!=1,E55*#REF!,E55*#REF!))</f>
        <v xml:space="preserve"> </v>
      </c>
      <c r="T55" s="182"/>
      <c r="U55" s="182" t="str">
        <f t="shared" si="13"/>
        <v xml:space="preserve"> </v>
      </c>
      <c r="V55" s="182"/>
      <c r="W55" s="182" t="str">
        <f>IF(OR(S55=" ",S55=0)," ",S55/#REF!-1)</f>
        <v xml:space="preserve"> </v>
      </c>
      <c r="X55" s="182" t="str">
        <f>IF(U55=" "," ",U55/#REF!-1)</f>
        <v xml:space="preserve"> </v>
      </c>
      <c r="Y55" s="182"/>
      <c r="Z55" s="182"/>
      <c r="AA55" s="182"/>
      <c r="AB55" s="182"/>
      <c r="AC55" s="182"/>
      <c r="AD55" s="182"/>
      <c r="AE55" s="182"/>
      <c r="AF55" s="182"/>
      <c r="AG55" s="182"/>
      <c r="AH55" s="182"/>
      <c r="AI55" s="182"/>
      <c r="AJ55" s="182"/>
      <c r="AK55" s="182"/>
      <c r="AL55" s="182"/>
      <c r="AM55" s="182"/>
      <c r="AN55" s="182"/>
      <c r="AO55" s="182"/>
      <c r="AP55" s="182"/>
      <c r="AQ55" s="182"/>
      <c r="AR55" s="182"/>
      <c r="AS55" s="182"/>
      <c r="AT55" s="182"/>
      <c r="AU55" s="182"/>
      <c r="AV55" s="182"/>
      <c r="AW55" s="182"/>
      <c r="AX55" s="191" t="str">
        <f t="shared" si="14"/>
        <v/>
      </c>
      <c r="AY55" s="192" t="str">
        <f t="shared" si="16"/>
        <v/>
      </c>
      <c r="AZ55" s="193" t="str">
        <f>IF(E55=0,"",AX55/#REF!-1)</f>
        <v/>
      </c>
    </row>
    <row r="56" spans="1:52" s="186" customFormat="1" ht="12.95" customHeight="1">
      <c r="A56" s="185"/>
      <c r="B56" s="187"/>
      <c r="C56" s="187"/>
      <c r="D56" s="188"/>
      <c r="E56" s="189"/>
      <c r="F56" s="190" t="str">
        <f t="shared" si="15"/>
        <v xml:space="preserve"> </v>
      </c>
      <c r="G56" s="190"/>
      <c r="H56" s="194" t="str">
        <f t="shared" si="17"/>
        <v xml:space="preserve"> </v>
      </c>
      <c r="I56" s="194" t="str">
        <f>IF(E56=0," ",E56/#REF!-1)</f>
        <v xml:space="preserve"> </v>
      </c>
      <c r="J56" s="195"/>
      <c r="K56" s="195"/>
      <c r="L56" s="195"/>
      <c r="M56" s="195"/>
      <c r="N56" s="195"/>
      <c r="O56" s="195"/>
      <c r="P56" s="195"/>
      <c r="Q56" s="195"/>
      <c r="R56" s="195"/>
      <c r="S56" s="189" t="str">
        <f>IF(E56=0," ",IF(#REF!=1,E56*#REF!,E56*#REF!))</f>
        <v xml:space="preserve"> </v>
      </c>
      <c r="T56" s="182"/>
      <c r="U56" s="182" t="str">
        <f t="shared" si="13"/>
        <v xml:space="preserve"> </v>
      </c>
      <c r="V56" s="182"/>
      <c r="W56" s="182" t="str">
        <f>IF(OR(S56=" ",S56=0)," ",S56/#REF!-1)</f>
        <v xml:space="preserve"> </v>
      </c>
      <c r="X56" s="182" t="str">
        <f>IF(U56=" "," ",U56/#REF!-1)</f>
        <v xml:space="preserve"> </v>
      </c>
      <c r="Y56" s="182"/>
      <c r="Z56" s="182"/>
      <c r="AA56" s="182"/>
      <c r="AB56" s="182"/>
      <c r="AC56" s="182"/>
      <c r="AD56" s="182"/>
      <c r="AE56" s="182"/>
      <c r="AF56" s="182"/>
      <c r="AG56" s="182"/>
      <c r="AH56" s="182"/>
      <c r="AI56" s="182"/>
      <c r="AJ56" s="182"/>
      <c r="AK56" s="182"/>
      <c r="AL56" s="182"/>
      <c r="AM56" s="182"/>
      <c r="AN56" s="182"/>
      <c r="AO56" s="182"/>
      <c r="AP56" s="182"/>
      <c r="AQ56" s="182"/>
      <c r="AR56" s="182"/>
      <c r="AS56" s="182"/>
      <c r="AT56" s="182"/>
      <c r="AU56" s="182"/>
      <c r="AV56" s="182"/>
      <c r="AW56" s="182"/>
      <c r="AX56" s="191" t="str">
        <f t="shared" si="14"/>
        <v/>
      </c>
      <c r="AY56" s="192" t="str">
        <f t="shared" si="16"/>
        <v/>
      </c>
      <c r="AZ56" s="193" t="str">
        <f>IF(E56=0,"",AX56/#REF!-1)</f>
        <v/>
      </c>
    </row>
    <row r="57" spans="1:52" s="186" customFormat="1" ht="12.95" customHeight="1">
      <c r="A57" s="185"/>
      <c r="B57" s="187"/>
      <c r="C57" s="187"/>
      <c r="D57" s="188"/>
      <c r="E57" s="189"/>
      <c r="F57" s="190" t="str">
        <f t="shared" si="15"/>
        <v xml:space="preserve"> </v>
      </c>
      <c r="G57" s="190"/>
      <c r="H57" s="194" t="str">
        <f t="shared" si="17"/>
        <v xml:space="preserve"> </v>
      </c>
      <c r="I57" s="194" t="str">
        <f>IF(E57=0," ",E57/#REF!-1)</f>
        <v xml:space="preserve"> </v>
      </c>
      <c r="J57" s="195"/>
      <c r="K57" s="195"/>
      <c r="L57" s="195"/>
      <c r="M57" s="195"/>
      <c r="N57" s="195"/>
      <c r="O57" s="195"/>
      <c r="P57" s="195"/>
      <c r="Q57" s="195"/>
      <c r="R57" s="195"/>
      <c r="S57" s="189" t="str">
        <f>IF(E57=0," ",IF(#REF!=1,E57*#REF!,E57*#REF!))</f>
        <v xml:space="preserve"> </v>
      </c>
      <c r="T57" s="182"/>
      <c r="U57" s="182" t="str">
        <f t="shared" si="13"/>
        <v xml:space="preserve"> </v>
      </c>
      <c r="V57" s="182"/>
      <c r="W57" s="182" t="str">
        <f>IF(OR(S57=" ",S57=0)," ",S57/#REF!-1)</f>
        <v xml:space="preserve"> </v>
      </c>
      <c r="X57" s="182" t="str">
        <f>IF(U57=" "," ",U57/#REF!-1)</f>
        <v xml:space="preserve"> </v>
      </c>
      <c r="Y57" s="182"/>
      <c r="Z57" s="182"/>
      <c r="AA57" s="182"/>
      <c r="AB57" s="182"/>
      <c r="AC57" s="182"/>
      <c r="AD57" s="182"/>
      <c r="AE57" s="182"/>
      <c r="AF57" s="182"/>
      <c r="AG57" s="182"/>
      <c r="AH57" s="182"/>
      <c r="AI57" s="182"/>
      <c r="AJ57" s="182"/>
      <c r="AK57" s="182"/>
      <c r="AL57" s="182"/>
      <c r="AM57" s="182"/>
      <c r="AN57" s="182"/>
      <c r="AO57" s="182"/>
      <c r="AP57" s="182"/>
      <c r="AQ57" s="182"/>
      <c r="AR57" s="182"/>
      <c r="AS57" s="182"/>
      <c r="AT57" s="182"/>
      <c r="AU57" s="182"/>
      <c r="AV57" s="182"/>
      <c r="AW57" s="182"/>
      <c r="AX57" s="191" t="str">
        <f t="shared" si="14"/>
        <v/>
      </c>
      <c r="AY57" s="192" t="str">
        <f t="shared" si="16"/>
        <v/>
      </c>
      <c r="AZ57" s="193" t="str">
        <f>IF(E57=0,"",AX57/#REF!-1)</f>
        <v/>
      </c>
    </row>
    <row r="58" spans="1:52" s="186" customFormat="1" ht="12.95" customHeight="1">
      <c r="A58" s="185"/>
      <c r="B58" s="187"/>
      <c r="C58" s="187"/>
      <c r="D58" s="188"/>
      <c r="E58" s="189"/>
      <c r="F58" s="190" t="str">
        <f t="shared" si="15"/>
        <v xml:space="preserve"> </v>
      </c>
      <c r="G58" s="190"/>
      <c r="H58" s="194" t="str">
        <f t="shared" si="17"/>
        <v xml:space="preserve"> </v>
      </c>
      <c r="I58" s="194" t="str">
        <f>IF(E58=0," ",E58/#REF!-1)</f>
        <v xml:space="preserve"> </v>
      </c>
      <c r="J58" s="195"/>
      <c r="K58" s="195"/>
      <c r="L58" s="195"/>
      <c r="M58" s="195"/>
      <c r="N58" s="195"/>
      <c r="O58" s="195"/>
      <c r="P58" s="195"/>
      <c r="Q58" s="195"/>
      <c r="R58" s="195"/>
      <c r="S58" s="189" t="str">
        <f>IF(E58=0," ",IF(#REF!=1,E58*#REF!,E58*#REF!))</f>
        <v xml:space="preserve"> </v>
      </c>
      <c r="T58" s="182"/>
      <c r="U58" s="182" t="str">
        <f t="shared" si="13"/>
        <v xml:space="preserve"> </v>
      </c>
      <c r="V58" s="182"/>
      <c r="W58" s="182" t="str">
        <f>IF(OR(S58=" ",S58=0)," ",S58/#REF!-1)</f>
        <v xml:space="preserve"> </v>
      </c>
      <c r="X58" s="182" t="str">
        <f>IF(U58=" "," ",U58/#REF!-1)</f>
        <v xml:space="preserve"> </v>
      </c>
      <c r="Y58" s="182"/>
      <c r="Z58" s="182"/>
      <c r="AA58" s="182"/>
      <c r="AB58" s="182"/>
      <c r="AC58" s="182"/>
      <c r="AD58" s="182"/>
      <c r="AE58" s="182"/>
      <c r="AF58" s="182"/>
      <c r="AG58" s="182"/>
      <c r="AH58" s="182"/>
      <c r="AI58" s="182"/>
      <c r="AJ58" s="182"/>
      <c r="AK58" s="182"/>
      <c r="AL58" s="182"/>
      <c r="AM58" s="182"/>
      <c r="AN58" s="182"/>
      <c r="AO58" s="182"/>
      <c r="AP58" s="182"/>
      <c r="AQ58" s="182"/>
      <c r="AR58" s="182"/>
      <c r="AS58" s="182"/>
      <c r="AT58" s="182"/>
      <c r="AU58" s="182"/>
      <c r="AV58" s="182"/>
      <c r="AW58" s="182"/>
      <c r="AX58" s="191" t="str">
        <f t="shared" si="14"/>
        <v/>
      </c>
      <c r="AY58" s="192" t="str">
        <f t="shared" si="16"/>
        <v/>
      </c>
      <c r="AZ58" s="193" t="str">
        <f>IF(E58=0,"",AX58/#REF!-1)</f>
        <v/>
      </c>
    </row>
    <row r="59" spans="1:52" s="186" customFormat="1" ht="12.95" customHeight="1">
      <c r="A59" s="185"/>
      <c r="B59" s="187"/>
      <c r="C59" s="187"/>
      <c r="D59" s="188"/>
      <c r="E59" s="189"/>
      <c r="F59" s="190" t="str">
        <f t="shared" si="15"/>
        <v xml:space="preserve"> </v>
      </c>
      <c r="G59" s="190"/>
      <c r="H59" s="194" t="str">
        <f t="shared" si="17"/>
        <v xml:space="preserve"> </v>
      </c>
      <c r="I59" s="194" t="str">
        <f>IF(E59=0," ",E59/#REF!-1)</f>
        <v xml:space="preserve"> </v>
      </c>
      <c r="J59" s="195"/>
      <c r="K59" s="195"/>
      <c r="L59" s="195"/>
      <c r="M59" s="195"/>
      <c r="N59" s="195"/>
      <c r="O59" s="195"/>
      <c r="P59" s="195"/>
      <c r="Q59" s="195"/>
      <c r="R59" s="195"/>
      <c r="S59" s="189" t="str">
        <f>IF(E59=0," ",IF(#REF!=1,E59*#REF!,E59*#REF!))</f>
        <v xml:space="preserve"> </v>
      </c>
      <c r="T59" s="182"/>
      <c r="U59" s="182" t="str">
        <f t="shared" si="13"/>
        <v xml:space="preserve"> </v>
      </c>
      <c r="V59" s="182"/>
      <c r="W59" s="182" t="str">
        <f>IF(OR(S59=" ",S59=0)," ",S59/#REF!-1)</f>
        <v xml:space="preserve"> </v>
      </c>
      <c r="X59" s="182" t="str">
        <f>IF(U59=" "," ",U59/#REF!-1)</f>
        <v xml:space="preserve"> </v>
      </c>
      <c r="Y59" s="182"/>
      <c r="Z59" s="182"/>
      <c r="AA59" s="182"/>
      <c r="AB59" s="182"/>
      <c r="AC59" s="182"/>
      <c r="AD59" s="182"/>
      <c r="AE59" s="182"/>
      <c r="AF59" s="182"/>
      <c r="AG59" s="182"/>
      <c r="AH59" s="182"/>
      <c r="AI59" s="182"/>
      <c r="AJ59" s="182"/>
      <c r="AK59" s="182"/>
      <c r="AL59" s="182"/>
      <c r="AM59" s="182"/>
      <c r="AN59" s="182"/>
      <c r="AO59" s="182"/>
      <c r="AP59" s="182"/>
      <c r="AQ59" s="182"/>
      <c r="AR59" s="182"/>
      <c r="AS59" s="182"/>
      <c r="AT59" s="182"/>
      <c r="AU59" s="182"/>
      <c r="AV59" s="182"/>
      <c r="AW59" s="182"/>
      <c r="AX59" s="191" t="str">
        <f t="shared" si="14"/>
        <v/>
      </c>
      <c r="AY59" s="192" t="str">
        <f t="shared" si="16"/>
        <v/>
      </c>
      <c r="AZ59" s="193" t="str">
        <f>IF(E59=0,"",AX59/#REF!-1)</f>
        <v/>
      </c>
    </row>
    <row r="60" spans="1:52" s="186" customFormat="1" ht="12.95" customHeight="1">
      <c r="A60" s="185"/>
      <c r="B60" s="187"/>
      <c r="C60" s="187"/>
      <c r="D60" s="188"/>
      <c r="E60" s="189"/>
      <c r="F60" s="190" t="str">
        <f t="shared" si="15"/>
        <v xml:space="preserve"> </v>
      </c>
      <c r="G60" s="190"/>
      <c r="H60" s="194" t="str">
        <f t="shared" si="17"/>
        <v xml:space="preserve"> </v>
      </c>
      <c r="I60" s="194" t="str">
        <f>IF(E60=0," ",E60/#REF!-1)</f>
        <v xml:space="preserve"> </v>
      </c>
      <c r="J60" s="195"/>
      <c r="K60" s="195"/>
      <c r="L60" s="195"/>
      <c r="M60" s="195"/>
      <c r="N60" s="195"/>
      <c r="O60" s="195"/>
      <c r="P60" s="195"/>
      <c r="Q60" s="195"/>
      <c r="R60" s="195"/>
      <c r="S60" s="189" t="str">
        <f>IF(E60=0," ",IF(#REF!=1,E60*#REF!,E60*#REF!))</f>
        <v xml:space="preserve"> </v>
      </c>
      <c r="T60" s="182"/>
      <c r="U60" s="182" t="str">
        <f t="shared" si="13"/>
        <v xml:space="preserve"> </v>
      </c>
      <c r="V60" s="182"/>
      <c r="W60" s="182" t="str">
        <f>IF(OR(S60=" ",S60=0)," ",S60/#REF!-1)</f>
        <v xml:space="preserve"> </v>
      </c>
      <c r="X60" s="182" t="str">
        <f>IF(U60=" "," ",U60/#REF!-1)</f>
        <v xml:space="preserve"> </v>
      </c>
      <c r="Y60" s="182"/>
      <c r="Z60" s="182"/>
      <c r="AA60" s="182"/>
      <c r="AB60" s="182"/>
      <c r="AC60" s="182"/>
      <c r="AD60" s="182"/>
      <c r="AE60" s="182"/>
      <c r="AF60" s="182"/>
      <c r="AG60" s="182"/>
      <c r="AH60" s="182"/>
      <c r="AI60" s="182"/>
      <c r="AJ60" s="182"/>
      <c r="AK60" s="182"/>
      <c r="AL60" s="182"/>
      <c r="AM60" s="182"/>
      <c r="AN60" s="182"/>
      <c r="AO60" s="182"/>
      <c r="AP60" s="182"/>
      <c r="AQ60" s="182"/>
      <c r="AR60" s="182"/>
      <c r="AS60" s="182"/>
      <c r="AT60" s="182"/>
      <c r="AU60" s="182"/>
      <c r="AV60" s="182"/>
      <c r="AW60" s="182"/>
      <c r="AX60" s="191" t="str">
        <f t="shared" si="14"/>
        <v/>
      </c>
      <c r="AY60" s="192" t="str">
        <f t="shared" si="16"/>
        <v/>
      </c>
      <c r="AZ60" s="193" t="str">
        <f>IF(E60=0,"",AX60/#REF!-1)</f>
        <v/>
      </c>
    </row>
    <row r="61" spans="1:52" s="186" customFormat="1" ht="12.95" customHeight="1">
      <c r="A61" s="185"/>
      <c r="B61" s="187"/>
      <c r="C61" s="187"/>
      <c r="D61" s="188"/>
      <c r="E61" s="189"/>
      <c r="F61" s="190" t="str">
        <f t="shared" si="15"/>
        <v xml:space="preserve"> </v>
      </c>
      <c r="G61" s="190"/>
      <c r="H61" s="194" t="str">
        <f t="shared" si="17"/>
        <v xml:space="preserve"> </v>
      </c>
      <c r="I61" s="194" t="str">
        <f>IF(E61=0," ",E61/#REF!-1)</f>
        <v xml:space="preserve"> </v>
      </c>
      <c r="J61" s="195"/>
      <c r="K61" s="195"/>
      <c r="L61" s="195"/>
      <c r="M61" s="195"/>
      <c r="N61" s="195"/>
      <c r="O61" s="195"/>
      <c r="P61" s="195"/>
      <c r="Q61" s="195"/>
      <c r="R61" s="195"/>
      <c r="S61" s="189" t="str">
        <f>IF(E61=0," ",IF(#REF!=1,E61*#REF!,E61*#REF!))</f>
        <v xml:space="preserve"> </v>
      </c>
      <c r="T61" s="182"/>
      <c r="U61" s="182" t="str">
        <f t="shared" si="13"/>
        <v xml:space="preserve"> </v>
      </c>
      <c r="V61" s="182"/>
      <c r="W61" s="182" t="str">
        <f>IF(OR(S61=" ",S61=0)," ",S61/#REF!-1)</f>
        <v xml:space="preserve"> </v>
      </c>
      <c r="X61" s="182" t="str">
        <f>IF(U61=" "," ",U61/#REF!-1)</f>
        <v xml:space="preserve"> </v>
      </c>
      <c r="Y61" s="182"/>
      <c r="Z61" s="182"/>
      <c r="AA61" s="182"/>
      <c r="AB61" s="182"/>
      <c r="AC61" s="182"/>
      <c r="AD61" s="182"/>
      <c r="AE61" s="182"/>
      <c r="AF61" s="182"/>
      <c r="AG61" s="182"/>
      <c r="AH61" s="182"/>
      <c r="AI61" s="182"/>
      <c r="AJ61" s="182"/>
      <c r="AK61" s="182"/>
      <c r="AL61" s="182"/>
      <c r="AM61" s="182"/>
      <c r="AN61" s="182"/>
      <c r="AO61" s="182"/>
      <c r="AP61" s="182"/>
      <c r="AQ61" s="182"/>
      <c r="AR61" s="182"/>
      <c r="AS61" s="182"/>
      <c r="AT61" s="182"/>
      <c r="AU61" s="182"/>
      <c r="AV61" s="182"/>
      <c r="AW61" s="182"/>
      <c r="AX61" s="191" t="str">
        <f t="shared" si="14"/>
        <v/>
      </c>
      <c r="AY61" s="192" t="str">
        <f t="shared" si="16"/>
        <v/>
      </c>
      <c r="AZ61" s="193" t="str">
        <f>IF(E61=0,"",AX61/#REF!-1)</f>
        <v/>
      </c>
    </row>
    <row r="62" spans="1:52" s="186" customFormat="1" ht="12.95" customHeight="1">
      <c r="A62" s="185"/>
      <c r="B62" s="187"/>
      <c r="C62" s="187"/>
      <c r="D62" s="188"/>
      <c r="E62" s="189"/>
      <c r="F62" s="190" t="str">
        <f t="shared" si="15"/>
        <v xml:space="preserve"> </v>
      </c>
      <c r="G62" s="190"/>
      <c r="H62" s="194" t="str">
        <f t="shared" si="17"/>
        <v xml:space="preserve"> </v>
      </c>
      <c r="I62" s="194" t="str">
        <f>IF(E62=0," ",E62/#REF!-1)</f>
        <v xml:space="preserve"> </v>
      </c>
      <c r="J62" s="195"/>
      <c r="K62" s="195"/>
      <c r="L62" s="195"/>
      <c r="M62" s="195"/>
      <c r="N62" s="195"/>
      <c r="O62" s="195"/>
      <c r="P62" s="195"/>
      <c r="Q62" s="195"/>
      <c r="R62" s="195"/>
      <c r="S62" s="189" t="str">
        <f>IF(E62=0," ",IF(#REF!=1,E62*#REF!,E62*#REF!))</f>
        <v xml:space="preserve"> </v>
      </c>
      <c r="T62" s="182"/>
      <c r="U62" s="182" t="str">
        <f t="shared" si="13"/>
        <v xml:space="preserve"> </v>
      </c>
      <c r="V62" s="182"/>
      <c r="W62" s="182" t="str">
        <f>IF(OR(S62=" ",S62=0)," ",S62/#REF!-1)</f>
        <v xml:space="preserve"> </v>
      </c>
      <c r="X62" s="182" t="str">
        <f>IF(U62=" "," ",U62/#REF!-1)</f>
        <v xml:space="preserve"> </v>
      </c>
      <c r="Y62" s="182"/>
      <c r="Z62" s="182"/>
      <c r="AA62" s="182"/>
      <c r="AB62" s="182"/>
      <c r="AC62" s="182"/>
      <c r="AD62" s="182"/>
      <c r="AE62" s="182"/>
      <c r="AF62" s="182"/>
      <c r="AG62" s="182"/>
      <c r="AH62" s="182"/>
      <c r="AI62" s="182"/>
      <c r="AJ62" s="182"/>
      <c r="AK62" s="182"/>
      <c r="AL62" s="182"/>
      <c r="AM62" s="182"/>
      <c r="AN62" s="182"/>
      <c r="AO62" s="182"/>
      <c r="AP62" s="182"/>
      <c r="AQ62" s="182"/>
      <c r="AR62" s="182"/>
      <c r="AS62" s="182"/>
      <c r="AT62" s="182"/>
      <c r="AU62" s="182"/>
      <c r="AV62" s="182"/>
      <c r="AW62" s="182"/>
      <c r="AX62" s="191" t="str">
        <f t="shared" si="14"/>
        <v/>
      </c>
      <c r="AY62" s="192" t="str">
        <f t="shared" si="16"/>
        <v/>
      </c>
      <c r="AZ62" s="193" t="str">
        <f>IF(E62=0,"",AX62/#REF!-1)</f>
        <v/>
      </c>
    </row>
    <row r="63" spans="1:52" s="186" customFormat="1" ht="12.95" customHeight="1">
      <c r="A63" s="185"/>
      <c r="B63" s="187"/>
      <c r="C63" s="187"/>
      <c r="D63" s="188"/>
      <c r="E63" s="189"/>
      <c r="F63" s="190" t="str">
        <f t="shared" si="15"/>
        <v xml:space="preserve"> </v>
      </c>
      <c r="G63" s="190"/>
      <c r="H63" s="194" t="str">
        <f t="shared" si="17"/>
        <v xml:space="preserve"> </v>
      </c>
      <c r="I63" s="194" t="str">
        <f>IF(E63=0," ",E63/#REF!-1)</f>
        <v xml:space="preserve"> </v>
      </c>
      <c r="J63" s="195"/>
      <c r="K63" s="195"/>
      <c r="L63" s="195"/>
      <c r="M63" s="195"/>
      <c r="N63" s="195"/>
      <c r="O63" s="195"/>
      <c r="P63" s="195"/>
      <c r="Q63" s="195"/>
      <c r="R63" s="195"/>
      <c r="S63" s="189" t="str">
        <f>IF(E63=0," ",IF(#REF!=1,E63*#REF!,E63*#REF!))</f>
        <v xml:space="preserve"> </v>
      </c>
      <c r="T63" s="182"/>
      <c r="U63" s="182" t="str">
        <f t="shared" si="13"/>
        <v xml:space="preserve"> </v>
      </c>
      <c r="V63" s="182"/>
      <c r="W63" s="182" t="str">
        <f>IF(OR(S63=" ",S63=0)," ",S63/#REF!-1)</f>
        <v xml:space="preserve"> </v>
      </c>
      <c r="X63" s="182" t="str">
        <f>IF(U63=" "," ",U63/#REF!-1)</f>
        <v xml:space="preserve"> </v>
      </c>
      <c r="Y63" s="182"/>
      <c r="Z63" s="182"/>
      <c r="AA63" s="182"/>
      <c r="AB63" s="182"/>
      <c r="AC63" s="182"/>
      <c r="AD63" s="182"/>
      <c r="AE63" s="182"/>
      <c r="AF63" s="182"/>
      <c r="AG63" s="182"/>
      <c r="AH63" s="182"/>
      <c r="AI63" s="182"/>
      <c r="AJ63" s="182"/>
      <c r="AK63" s="182"/>
      <c r="AL63" s="182"/>
      <c r="AM63" s="182"/>
      <c r="AN63" s="182"/>
      <c r="AO63" s="182"/>
      <c r="AP63" s="182"/>
      <c r="AQ63" s="182"/>
      <c r="AR63" s="182"/>
      <c r="AS63" s="182"/>
      <c r="AT63" s="182"/>
      <c r="AU63" s="182"/>
      <c r="AV63" s="182"/>
      <c r="AW63" s="182"/>
      <c r="AX63" s="191" t="str">
        <f t="shared" si="14"/>
        <v/>
      </c>
      <c r="AY63" s="192" t="str">
        <f t="shared" si="16"/>
        <v/>
      </c>
      <c r="AZ63" s="193" t="str">
        <f>IF(E63=0,"",AX63/#REF!-1)</f>
        <v/>
      </c>
    </row>
    <row r="64" spans="1:52" s="186" customFormat="1" ht="12.95" customHeight="1">
      <c r="A64" s="185"/>
      <c r="B64" s="187"/>
      <c r="C64" s="187"/>
      <c r="D64" s="188"/>
      <c r="E64" s="189"/>
      <c r="F64" s="190" t="str">
        <f t="shared" si="15"/>
        <v xml:space="preserve"> </v>
      </c>
      <c r="G64" s="190"/>
      <c r="H64" s="194" t="str">
        <f t="shared" si="17"/>
        <v xml:space="preserve"> </v>
      </c>
      <c r="I64" s="194" t="str">
        <f>IF(E64=0," ",E64/#REF!-1)</f>
        <v xml:space="preserve"> </v>
      </c>
      <c r="J64" s="195"/>
      <c r="K64" s="195"/>
      <c r="L64" s="195"/>
      <c r="M64" s="195"/>
      <c r="N64" s="195"/>
      <c r="O64" s="195"/>
      <c r="P64" s="195"/>
      <c r="Q64" s="195"/>
      <c r="R64" s="195"/>
      <c r="S64" s="189" t="str">
        <f>IF(E64=0," ",IF(#REF!=1,E64*#REF!,E64*#REF!))</f>
        <v xml:space="preserve"> </v>
      </c>
      <c r="T64" s="182"/>
      <c r="U64" s="182" t="str">
        <f t="shared" si="13"/>
        <v xml:space="preserve"> </v>
      </c>
      <c r="V64" s="182"/>
      <c r="W64" s="182" t="str">
        <f>IF(OR(S64=" ",S64=0)," ",S64/#REF!-1)</f>
        <v xml:space="preserve"> </v>
      </c>
      <c r="X64" s="182" t="str">
        <f>IF(U64=" "," ",U64/#REF!-1)</f>
        <v xml:space="preserve"> </v>
      </c>
      <c r="Y64" s="182"/>
      <c r="Z64" s="182"/>
      <c r="AA64" s="182"/>
      <c r="AB64" s="182"/>
      <c r="AC64" s="182"/>
      <c r="AD64" s="182"/>
      <c r="AE64" s="182"/>
      <c r="AF64" s="182"/>
      <c r="AG64" s="182"/>
      <c r="AH64" s="182"/>
      <c r="AI64" s="182"/>
      <c r="AJ64" s="182"/>
      <c r="AK64" s="182"/>
      <c r="AL64" s="182"/>
      <c r="AM64" s="182"/>
      <c r="AN64" s="182"/>
      <c r="AO64" s="182"/>
      <c r="AP64" s="182"/>
      <c r="AQ64" s="182"/>
      <c r="AR64" s="182"/>
      <c r="AS64" s="182"/>
      <c r="AT64" s="182"/>
      <c r="AU64" s="182"/>
      <c r="AV64" s="182"/>
      <c r="AW64" s="182"/>
      <c r="AX64" s="191" t="str">
        <f t="shared" si="14"/>
        <v/>
      </c>
      <c r="AY64" s="192" t="str">
        <f t="shared" si="16"/>
        <v/>
      </c>
      <c r="AZ64" s="193" t="str">
        <f>IF(E64=0,"",AX64/#REF!-1)</f>
        <v/>
      </c>
    </row>
    <row r="65" spans="1:52" s="186" customFormat="1" ht="12.95" customHeight="1">
      <c r="A65" s="185"/>
      <c r="B65" s="187"/>
      <c r="C65" s="187"/>
      <c r="D65" s="188"/>
      <c r="E65" s="189"/>
      <c r="F65" s="190" t="str">
        <f t="shared" si="15"/>
        <v xml:space="preserve"> </v>
      </c>
      <c r="G65" s="190"/>
      <c r="H65" s="194" t="str">
        <f t="shared" si="17"/>
        <v xml:space="preserve"> </v>
      </c>
      <c r="I65" s="194" t="str">
        <f>IF(E65=0," ",E65/#REF!-1)</f>
        <v xml:space="preserve"> </v>
      </c>
      <c r="J65" s="195"/>
      <c r="K65" s="195"/>
      <c r="L65" s="195"/>
      <c r="M65" s="195"/>
      <c r="N65" s="195"/>
      <c r="O65" s="195"/>
      <c r="P65" s="195"/>
      <c r="Q65" s="195"/>
      <c r="R65" s="195"/>
      <c r="S65" s="189" t="str">
        <f>IF(E65=0," ",IF(#REF!=1,E65*#REF!,E65*#REF!))</f>
        <v xml:space="preserve"> </v>
      </c>
      <c r="T65" s="182"/>
      <c r="U65" s="182" t="str">
        <f t="shared" si="13"/>
        <v xml:space="preserve"> </v>
      </c>
      <c r="V65" s="182"/>
      <c r="W65" s="182" t="str">
        <f>IF(OR(S65=" ",S65=0)," ",S65/#REF!-1)</f>
        <v xml:space="preserve"> </v>
      </c>
      <c r="X65" s="182" t="str">
        <f>IF(U65=" "," ",U65/#REF!-1)</f>
        <v xml:space="preserve"> </v>
      </c>
      <c r="Y65" s="182"/>
      <c r="Z65" s="182"/>
      <c r="AA65" s="182"/>
      <c r="AB65" s="182"/>
      <c r="AC65" s="182"/>
      <c r="AD65" s="182"/>
      <c r="AE65" s="182"/>
      <c r="AF65" s="182"/>
      <c r="AG65" s="182"/>
      <c r="AH65" s="182"/>
      <c r="AI65" s="182"/>
      <c r="AJ65" s="182"/>
      <c r="AK65" s="182"/>
      <c r="AL65" s="182"/>
      <c r="AM65" s="182"/>
      <c r="AN65" s="182"/>
      <c r="AO65" s="182"/>
      <c r="AP65" s="182"/>
      <c r="AQ65" s="182"/>
      <c r="AR65" s="182"/>
      <c r="AS65" s="182"/>
      <c r="AT65" s="182"/>
      <c r="AU65" s="182"/>
      <c r="AV65" s="182"/>
      <c r="AW65" s="182"/>
      <c r="AX65" s="191" t="str">
        <f t="shared" si="14"/>
        <v/>
      </c>
      <c r="AY65" s="192" t="str">
        <f t="shared" si="16"/>
        <v/>
      </c>
      <c r="AZ65" s="193" t="str">
        <f>IF(E65=0,"",AX65/#REF!-1)</f>
        <v/>
      </c>
    </row>
    <row r="66" spans="1:52" s="186" customFormat="1" ht="12.95" customHeight="1">
      <c r="A66" s="185"/>
      <c r="B66" s="187"/>
      <c r="C66" s="187"/>
      <c r="D66" s="188"/>
      <c r="E66" s="189"/>
      <c r="F66" s="190" t="str">
        <f t="shared" si="15"/>
        <v xml:space="preserve"> </v>
      </c>
      <c r="G66" s="190"/>
      <c r="H66" s="194" t="str">
        <f t="shared" si="17"/>
        <v xml:space="preserve"> </v>
      </c>
      <c r="I66" s="194" t="str">
        <f>IF(E66=0," ",E66/#REF!-1)</f>
        <v xml:space="preserve"> </v>
      </c>
      <c r="J66" s="195"/>
      <c r="K66" s="195"/>
      <c r="L66" s="195"/>
      <c r="M66" s="195"/>
      <c r="N66" s="195"/>
      <c r="O66" s="195"/>
      <c r="P66" s="195"/>
      <c r="Q66" s="195"/>
      <c r="R66" s="195"/>
      <c r="S66" s="189" t="str">
        <f>IF(E66=0," ",IF(#REF!=1,E66*#REF!,E66*#REF!))</f>
        <v xml:space="preserve"> </v>
      </c>
      <c r="T66" s="182"/>
      <c r="U66" s="182" t="str">
        <f t="shared" si="13"/>
        <v xml:space="preserve"> </v>
      </c>
      <c r="V66" s="182"/>
      <c r="W66" s="182" t="str">
        <f>IF(OR(S66=" ",S66=0)," ",S66/#REF!-1)</f>
        <v xml:space="preserve"> </v>
      </c>
      <c r="X66" s="182" t="str">
        <f>IF(U66=" "," ",U66/#REF!-1)</f>
        <v xml:space="preserve"> </v>
      </c>
      <c r="Y66" s="182"/>
      <c r="Z66" s="182"/>
      <c r="AA66" s="182"/>
      <c r="AB66" s="182"/>
      <c r="AC66" s="182"/>
      <c r="AD66" s="182"/>
      <c r="AE66" s="182"/>
      <c r="AF66" s="182"/>
      <c r="AG66" s="182"/>
      <c r="AH66" s="182"/>
      <c r="AI66" s="182"/>
      <c r="AJ66" s="182"/>
      <c r="AK66" s="182"/>
      <c r="AL66" s="182"/>
      <c r="AM66" s="182"/>
      <c r="AN66" s="182"/>
      <c r="AO66" s="182"/>
      <c r="AP66" s="182"/>
      <c r="AQ66" s="182"/>
      <c r="AR66" s="182"/>
      <c r="AS66" s="182"/>
      <c r="AT66" s="182"/>
      <c r="AU66" s="182"/>
      <c r="AV66" s="182"/>
      <c r="AW66" s="182"/>
      <c r="AX66" s="191" t="str">
        <f t="shared" si="14"/>
        <v/>
      </c>
      <c r="AY66" s="192" t="str">
        <f t="shared" si="16"/>
        <v/>
      </c>
      <c r="AZ66" s="193" t="str">
        <f>IF(E66=0,"",AX66/#REF!-1)</f>
        <v/>
      </c>
    </row>
    <row r="67" spans="1:52" s="186" customFormat="1" ht="12.95" customHeight="1">
      <c r="A67" s="185"/>
      <c r="B67" s="187"/>
      <c r="C67" s="187"/>
      <c r="D67" s="188"/>
      <c r="E67" s="189"/>
      <c r="F67" s="190" t="str">
        <f t="shared" si="15"/>
        <v xml:space="preserve"> </v>
      </c>
      <c r="G67" s="190"/>
      <c r="H67" s="194" t="str">
        <f t="shared" si="17"/>
        <v xml:space="preserve"> </v>
      </c>
      <c r="I67" s="194" t="str">
        <f>IF(E67=0," ",E67/#REF!-1)</f>
        <v xml:space="preserve"> </v>
      </c>
      <c r="J67" s="195"/>
      <c r="K67" s="195"/>
      <c r="L67" s="195"/>
      <c r="M67" s="195"/>
      <c r="N67" s="195"/>
      <c r="O67" s="195"/>
      <c r="P67" s="195"/>
      <c r="Q67" s="195"/>
      <c r="R67" s="195"/>
      <c r="S67" s="189" t="str">
        <f>IF(E67=0," ",IF(#REF!=1,E67*#REF!,E67*#REF!))</f>
        <v xml:space="preserve"> </v>
      </c>
      <c r="T67" s="182"/>
      <c r="U67" s="182" t="str">
        <f t="shared" si="13"/>
        <v xml:space="preserve"> </v>
      </c>
      <c r="V67" s="182"/>
      <c r="W67" s="182" t="str">
        <f>IF(OR(S67=" ",S67=0)," ",S67/#REF!-1)</f>
        <v xml:space="preserve"> </v>
      </c>
      <c r="X67" s="182" t="str">
        <f>IF(U67=" "," ",U67/#REF!-1)</f>
        <v xml:space="preserve"> </v>
      </c>
      <c r="Y67" s="182"/>
      <c r="Z67" s="182"/>
      <c r="AA67" s="182"/>
      <c r="AB67" s="182"/>
      <c r="AC67" s="182"/>
      <c r="AD67" s="182"/>
      <c r="AE67" s="182"/>
      <c r="AF67" s="182"/>
      <c r="AG67" s="182"/>
      <c r="AH67" s="182"/>
      <c r="AI67" s="182"/>
      <c r="AJ67" s="182"/>
      <c r="AK67" s="182"/>
      <c r="AL67" s="182"/>
      <c r="AM67" s="182"/>
      <c r="AN67" s="182"/>
      <c r="AO67" s="182"/>
      <c r="AP67" s="182"/>
      <c r="AQ67" s="182"/>
      <c r="AR67" s="182"/>
      <c r="AS67" s="182"/>
      <c r="AT67" s="182"/>
      <c r="AU67" s="182"/>
      <c r="AV67" s="182"/>
      <c r="AW67" s="182"/>
      <c r="AX67" s="191" t="str">
        <f t="shared" si="14"/>
        <v/>
      </c>
      <c r="AY67" s="192" t="str">
        <f t="shared" si="16"/>
        <v/>
      </c>
      <c r="AZ67" s="193" t="str">
        <f>IF(E67=0,"",AX67/#REF!-1)</f>
        <v/>
      </c>
    </row>
    <row r="68" spans="1:52" s="186" customFormat="1" ht="12.95" customHeight="1">
      <c r="A68" s="185"/>
      <c r="B68" s="187"/>
      <c r="C68" s="187"/>
      <c r="D68" s="188"/>
      <c r="E68" s="189"/>
      <c r="F68" s="190" t="str">
        <f t="shared" si="15"/>
        <v xml:space="preserve"> </v>
      </c>
      <c r="G68" s="190"/>
      <c r="H68" s="194" t="str">
        <f t="shared" si="17"/>
        <v xml:space="preserve"> </v>
      </c>
      <c r="I68" s="194" t="str">
        <f>IF(E68=0," ",E68/#REF!-1)</f>
        <v xml:space="preserve"> </v>
      </c>
      <c r="J68" s="195"/>
      <c r="K68" s="195"/>
      <c r="L68" s="195"/>
      <c r="M68" s="195"/>
      <c r="N68" s="195"/>
      <c r="O68" s="195"/>
      <c r="P68" s="195"/>
      <c r="Q68" s="195"/>
      <c r="R68" s="195"/>
      <c r="S68" s="189" t="str">
        <f>IF(E68=0," ",IF(#REF!=1,E68*#REF!,E68*#REF!))</f>
        <v xml:space="preserve"> </v>
      </c>
      <c r="T68" s="182"/>
      <c r="U68" s="182" t="str">
        <f t="shared" si="13"/>
        <v xml:space="preserve"> </v>
      </c>
      <c r="V68" s="182"/>
      <c r="W68" s="182" t="str">
        <f>IF(OR(S68=" ",S68=0)," ",S68/#REF!-1)</f>
        <v xml:space="preserve"> </v>
      </c>
      <c r="X68" s="182" t="str">
        <f>IF(U68=" "," ",U68/#REF!-1)</f>
        <v xml:space="preserve"> </v>
      </c>
      <c r="Y68" s="182"/>
      <c r="Z68" s="182"/>
      <c r="AA68" s="182"/>
      <c r="AB68" s="182"/>
      <c r="AC68" s="182"/>
      <c r="AD68" s="182"/>
      <c r="AE68" s="182"/>
      <c r="AF68" s="182"/>
      <c r="AG68" s="182"/>
      <c r="AH68" s="182"/>
      <c r="AI68" s="182"/>
      <c r="AJ68" s="182"/>
      <c r="AK68" s="182"/>
      <c r="AL68" s="182"/>
      <c r="AM68" s="182"/>
      <c r="AN68" s="182"/>
      <c r="AO68" s="182"/>
      <c r="AP68" s="182"/>
      <c r="AQ68" s="182"/>
      <c r="AR68" s="182"/>
      <c r="AS68" s="182"/>
      <c r="AT68" s="182"/>
      <c r="AU68" s="182"/>
      <c r="AV68" s="182"/>
      <c r="AW68" s="182"/>
      <c r="AX68" s="191" t="str">
        <f t="shared" si="14"/>
        <v/>
      </c>
      <c r="AY68" s="192" t="str">
        <f t="shared" si="16"/>
        <v/>
      </c>
      <c r="AZ68" s="193" t="str">
        <f>IF(E68=0,"",AX68/#REF!-1)</f>
        <v/>
      </c>
    </row>
    <row r="69" spans="1:52" s="186" customFormat="1" ht="12.95" customHeight="1">
      <c r="A69" s="185"/>
      <c r="B69" s="187"/>
      <c r="C69" s="187"/>
      <c r="D69" s="188"/>
      <c r="E69" s="189"/>
      <c r="F69" s="190" t="str">
        <f t="shared" si="15"/>
        <v xml:space="preserve"> </v>
      </c>
      <c r="G69" s="190"/>
      <c r="H69" s="194" t="str">
        <f t="shared" si="17"/>
        <v xml:space="preserve"> </v>
      </c>
      <c r="I69" s="194" t="str">
        <f>IF(E69=0," ",E69/#REF!-1)</f>
        <v xml:space="preserve"> </v>
      </c>
      <c r="J69" s="195"/>
      <c r="K69" s="195"/>
      <c r="L69" s="195"/>
      <c r="M69" s="195"/>
      <c r="N69" s="195"/>
      <c r="O69" s="195"/>
      <c r="P69" s="195"/>
      <c r="Q69" s="195"/>
      <c r="R69" s="195"/>
      <c r="S69" s="189" t="str">
        <f>IF(E69=0," ",IF(#REF!=1,E69*#REF!,E69*#REF!))</f>
        <v xml:space="preserve"> </v>
      </c>
      <c r="T69" s="182"/>
      <c r="U69" s="182" t="str">
        <f t="shared" si="13"/>
        <v xml:space="preserve"> </v>
      </c>
      <c r="V69" s="182"/>
      <c r="W69" s="182" t="str">
        <f>IF(OR(S69=" ",S69=0)," ",S69/#REF!-1)</f>
        <v xml:space="preserve"> </v>
      </c>
      <c r="X69" s="182" t="str">
        <f>IF(U69=" "," ",U69/#REF!-1)</f>
        <v xml:space="preserve"> </v>
      </c>
      <c r="Y69" s="182"/>
      <c r="Z69" s="182"/>
      <c r="AA69" s="182"/>
      <c r="AB69" s="182"/>
      <c r="AC69" s="182"/>
      <c r="AD69" s="182"/>
      <c r="AE69" s="182"/>
      <c r="AF69" s="182"/>
      <c r="AG69" s="182"/>
      <c r="AH69" s="182"/>
      <c r="AI69" s="182"/>
      <c r="AJ69" s="182"/>
      <c r="AK69" s="182"/>
      <c r="AL69" s="182"/>
      <c r="AM69" s="182"/>
      <c r="AN69" s="182"/>
      <c r="AO69" s="182"/>
      <c r="AP69" s="182"/>
      <c r="AQ69" s="182"/>
      <c r="AR69" s="182"/>
      <c r="AS69" s="182"/>
      <c r="AT69" s="182"/>
      <c r="AU69" s="182"/>
      <c r="AV69" s="182"/>
      <c r="AW69" s="182"/>
      <c r="AX69" s="191" t="str">
        <f t="shared" si="14"/>
        <v/>
      </c>
      <c r="AY69" s="192" t="str">
        <f t="shared" si="16"/>
        <v/>
      </c>
      <c r="AZ69" s="193" t="str">
        <f>IF(E69=0,"",AX69/#REF!-1)</f>
        <v/>
      </c>
    </row>
    <row r="70" spans="1:52" ht="12.95" customHeight="1">
      <c r="A70" s="185"/>
      <c r="B70" s="187"/>
      <c r="C70" s="187"/>
      <c r="D70" s="188"/>
      <c r="E70" s="189"/>
      <c r="F70" s="190" t="str">
        <f t="shared" si="15"/>
        <v xml:space="preserve"> </v>
      </c>
      <c r="G70" s="190"/>
      <c r="H70" s="194" t="str">
        <f t="shared" si="17"/>
        <v xml:space="preserve"> </v>
      </c>
      <c r="I70" s="194" t="str">
        <f>IF(E70=0," ",E70/#REF!-1)</f>
        <v xml:space="preserve"> </v>
      </c>
      <c r="J70" s="195"/>
      <c r="K70" s="195"/>
      <c r="L70" s="195"/>
      <c r="M70" s="195"/>
      <c r="N70" s="195"/>
      <c r="O70" s="195"/>
      <c r="P70" s="195"/>
      <c r="Q70" s="195"/>
      <c r="R70" s="195"/>
      <c r="S70" s="189" t="str">
        <f>IF(E70=0," ",IF(#REF!=1,E70*#REF!,E70*#REF!))</f>
        <v xml:space="preserve"> </v>
      </c>
      <c r="U70" s="182" t="str">
        <f t="shared" si="13"/>
        <v xml:space="preserve"> </v>
      </c>
      <c r="W70" s="182" t="str">
        <f>IF(OR(S70=" ",S70=0)," ",S70/#REF!-1)</f>
        <v xml:space="preserve"> </v>
      </c>
      <c r="X70" s="182" t="str">
        <f>IF(U70=" "," ",U70/#REF!-1)</f>
        <v xml:space="preserve"> </v>
      </c>
      <c r="AX70" s="191" t="str">
        <f t="shared" si="14"/>
        <v/>
      </c>
      <c r="AY70" s="192" t="str">
        <f t="shared" si="16"/>
        <v/>
      </c>
      <c r="AZ70" s="193" t="str">
        <f>IF(E70=0,"",AX70/#REF!-1)</f>
        <v/>
      </c>
    </row>
    <row r="71" spans="1:52" ht="12.95" customHeight="1">
      <c r="A71" s="185"/>
      <c r="B71" s="187"/>
      <c r="C71" s="187"/>
      <c r="D71" s="188"/>
      <c r="E71" s="189"/>
      <c r="F71" s="190" t="str">
        <f t="shared" si="15"/>
        <v xml:space="preserve"> </v>
      </c>
      <c r="G71" s="190"/>
      <c r="H71" s="194" t="str">
        <f t="shared" si="17"/>
        <v xml:space="preserve"> </v>
      </c>
      <c r="I71" s="194" t="str">
        <f>IF(E71=0," ",E71/#REF!-1)</f>
        <v xml:space="preserve"> </v>
      </c>
      <c r="J71" s="195"/>
      <c r="K71" s="195"/>
      <c r="L71" s="195"/>
      <c r="M71" s="195"/>
      <c r="N71" s="195"/>
      <c r="O71" s="195"/>
      <c r="P71" s="195"/>
      <c r="Q71" s="195"/>
      <c r="R71" s="195"/>
      <c r="S71" s="189" t="str">
        <f>IF(E71=0," ",IF(#REF!=1,E71*#REF!,E71*#REF!))</f>
        <v xml:space="preserve"> </v>
      </c>
      <c r="U71" s="182" t="str">
        <f t="shared" si="13"/>
        <v xml:space="preserve"> </v>
      </c>
      <c r="W71" s="182" t="str">
        <f>IF(OR(S71=" ",S71=0)," ",S71/#REF!-1)</f>
        <v xml:space="preserve"> </v>
      </c>
      <c r="X71" s="182" t="str">
        <f>IF(U71=" "," ",U71/#REF!-1)</f>
        <v xml:space="preserve"> </v>
      </c>
      <c r="AX71" s="191" t="str">
        <f t="shared" si="14"/>
        <v/>
      </c>
      <c r="AY71" s="192" t="str">
        <f t="shared" si="16"/>
        <v/>
      </c>
      <c r="AZ71" s="193" t="str">
        <f>IF(E71=0,"",AX71/#REF!-1)</f>
        <v/>
      </c>
    </row>
    <row r="72" spans="1:52" ht="12.95" customHeight="1">
      <c r="A72" s="185"/>
      <c r="B72" s="187"/>
      <c r="C72" s="187"/>
      <c r="D72" s="188"/>
      <c r="E72" s="189"/>
      <c r="F72" s="190" t="str">
        <f t="shared" si="15"/>
        <v xml:space="preserve"> </v>
      </c>
      <c r="G72" s="190"/>
      <c r="H72" s="194" t="str">
        <f t="shared" si="17"/>
        <v xml:space="preserve"> </v>
      </c>
      <c r="I72" s="194" t="str">
        <f>IF(E72=0," ",E72/#REF!-1)</f>
        <v xml:space="preserve"> </v>
      </c>
      <c r="J72" s="195"/>
      <c r="K72" s="195"/>
      <c r="L72" s="195"/>
      <c r="M72" s="195"/>
      <c r="N72" s="195"/>
      <c r="O72" s="195"/>
      <c r="P72" s="195"/>
      <c r="Q72" s="195"/>
      <c r="R72" s="195"/>
      <c r="S72" s="189" t="str">
        <f>IF(E72=0," ",IF(#REF!=1,E72*#REF!,E72*#REF!))</f>
        <v xml:space="preserve"> </v>
      </c>
      <c r="U72" s="182" t="str">
        <f t="shared" si="13"/>
        <v xml:space="preserve"> </v>
      </c>
      <c r="W72" s="182" t="str">
        <f>IF(OR(S72=" ",S72=0)," ",S72/#REF!-1)</f>
        <v xml:space="preserve"> </v>
      </c>
      <c r="X72" s="182" t="str">
        <f>IF(U72=" "," ",U72/#REF!-1)</f>
        <v xml:space="preserve"> </v>
      </c>
      <c r="AX72" s="191" t="str">
        <f t="shared" si="14"/>
        <v/>
      </c>
      <c r="AY72" s="192" t="str">
        <f t="shared" si="16"/>
        <v/>
      </c>
      <c r="AZ72" s="193" t="str">
        <f>IF(E72=0,"",AX72/#REF!-1)</f>
        <v/>
      </c>
    </row>
    <row r="73" spans="1:52" ht="12.95" customHeight="1">
      <c r="A73" s="185"/>
      <c r="B73" s="187"/>
      <c r="C73" s="187"/>
      <c r="D73" s="188"/>
      <c r="E73" s="189"/>
      <c r="F73" s="190" t="str">
        <f t="shared" si="15"/>
        <v xml:space="preserve"> </v>
      </c>
      <c r="G73" s="190"/>
      <c r="H73" s="194" t="str">
        <f t="shared" si="17"/>
        <v xml:space="preserve"> </v>
      </c>
      <c r="I73" s="194" t="str">
        <f>IF(E73=0," ",E73/#REF!-1)</f>
        <v xml:space="preserve"> </v>
      </c>
      <c r="J73" s="195"/>
      <c r="K73" s="195"/>
      <c r="L73" s="195"/>
      <c r="M73" s="195"/>
      <c r="N73" s="195"/>
      <c r="O73" s="195"/>
      <c r="P73" s="195"/>
      <c r="Q73" s="195"/>
      <c r="R73" s="195"/>
      <c r="S73" s="189" t="str">
        <f>IF(E73=0," ",IF(#REF!=1,E73*#REF!,E73*#REF!))</f>
        <v xml:space="preserve"> </v>
      </c>
      <c r="U73" s="182" t="str">
        <f t="shared" si="13"/>
        <v xml:space="preserve"> </v>
      </c>
      <c r="W73" s="182" t="str">
        <f>IF(OR(S73=" ",S73=0)," ",S73/#REF!-1)</f>
        <v xml:space="preserve"> </v>
      </c>
      <c r="X73" s="182" t="str">
        <f>IF(U73=" "," ",U73/#REF!-1)</f>
        <v xml:space="preserve"> </v>
      </c>
      <c r="AX73" s="191" t="str">
        <f t="shared" si="14"/>
        <v/>
      </c>
      <c r="AY73" s="192" t="str">
        <f t="shared" si="16"/>
        <v/>
      </c>
      <c r="AZ73" s="193" t="str">
        <f>IF(E73=0,"",AX73/#REF!-1)</f>
        <v/>
      </c>
    </row>
    <row r="74" spans="1:52" ht="12.95" customHeight="1">
      <c r="A74" s="185"/>
      <c r="B74" s="187"/>
      <c r="C74" s="187"/>
      <c r="D74" s="188"/>
      <c r="E74" s="189"/>
      <c r="F74" s="190" t="str">
        <f t="shared" si="15"/>
        <v xml:space="preserve"> </v>
      </c>
      <c r="G74" s="190"/>
      <c r="H74" s="194" t="str">
        <f t="shared" si="17"/>
        <v xml:space="preserve"> </v>
      </c>
      <c r="I74" s="194" t="str">
        <f>IF(E74=0," ",E74/#REF!-1)</f>
        <v xml:space="preserve"> </v>
      </c>
      <c r="J74" s="195"/>
      <c r="K74" s="195"/>
      <c r="L74" s="195"/>
      <c r="M74" s="195"/>
      <c r="N74" s="195"/>
      <c r="O74" s="195"/>
      <c r="P74" s="195"/>
      <c r="Q74" s="195"/>
      <c r="R74" s="195"/>
      <c r="S74" s="189" t="str">
        <f>IF(E74=0," ",IF(#REF!=1,E74*#REF!,E74*#REF!))</f>
        <v xml:space="preserve"> </v>
      </c>
      <c r="U74" s="182" t="str">
        <f t="shared" si="13"/>
        <v xml:space="preserve"> </v>
      </c>
      <c r="W74" s="182" t="str">
        <f>IF(OR(S74=" ",S74=0)," ",S74/#REF!-1)</f>
        <v xml:space="preserve"> </v>
      </c>
      <c r="X74" s="182" t="str">
        <f>IF(U74=" "," ",U74/#REF!-1)</f>
        <v xml:space="preserve"> </v>
      </c>
      <c r="AX74" s="191" t="str">
        <f t="shared" si="14"/>
        <v/>
      </c>
      <c r="AY74" s="192" t="str">
        <f t="shared" si="16"/>
        <v/>
      </c>
      <c r="AZ74" s="193" t="str">
        <f>IF(E74=0,"",AX74/#REF!-1)</f>
        <v/>
      </c>
    </row>
    <row r="75" spans="1:52" ht="12.95" customHeight="1">
      <c r="A75" s="185"/>
      <c r="B75" s="187"/>
      <c r="C75" s="187"/>
      <c r="D75" s="188"/>
      <c r="E75" s="189"/>
      <c r="F75" s="190" t="str">
        <f t="shared" si="15"/>
        <v xml:space="preserve"> </v>
      </c>
      <c r="G75" s="190"/>
      <c r="H75" s="194" t="str">
        <f t="shared" si="17"/>
        <v xml:space="preserve"> </v>
      </c>
      <c r="I75" s="194" t="str">
        <f>IF(E75=0," ",E75/#REF!-1)</f>
        <v xml:space="preserve"> </v>
      </c>
      <c r="J75" s="195"/>
      <c r="K75" s="195"/>
      <c r="L75" s="195"/>
      <c r="M75" s="195"/>
      <c r="N75" s="195"/>
      <c r="O75" s="195"/>
      <c r="P75" s="195"/>
      <c r="Q75" s="195"/>
      <c r="R75" s="195"/>
      <c r="S75" s="189" t="str">
        <f>IF(E75=0," ",IF(#REF!=1,E75*#REF!,E75*#REF!))</f>
        <v xml:space="preserve"> </v>
      </c>
      <c r="U75" s="182" t="str">
        <f t="shared" si="13"/>
        <v xml:space="preserve"> </v>
      </c>
      <c r="W75" s="182" t="str">
        <f>IF(OR(S75=" ",S75=0)," ",S75/#REF!-1)</f>
        <v xml:space="preserve"> </v>
      </c>
      <c r="X75" s="182" t="str">
        <f>IF(U75=" "," ",U75/#REF!-1)</f>
        <v xml:space="preserve"> </v>
      </c>
      <c r="AX75" s="191" t="str">
        <f t="shared" si="14"/>
        <v/>
      </c>
      <c r="AY75" s="192" t="str">
        <f t="shared" si="16"/>
        <v/>
      </c>
      <c r="AZ75" s="193" t="str">
        <f>IF(E75=0,"",AX75/#REF!-1)</f>
        <v/>
      </c>
    </row>
    <row r="76" spans="1:52" ht="12.95" customHeight="1">
      <c r="A76" s="185"/>
      <c r="B76" s="187"/>
      <c r="C76" s="187"/>
      <c r="D76" s="188"/>
      <c r="E76" s="189"/>
      <c r="F76" s="190" t="str">
        <f t="shared" si="15"/>
        <v xml:space="preserve"> </v>
      </c>
      <c r="G76" s="190"/>
      <c r="H76" s="194" t="str">
        <f t="shared" si="17"/>
        <v xml:space="preserve"> </v>
      </c>
      <c r="I76" s="194" t="str">
        <f>IF(E76=0," ",E76/#REF!-1)</f>
        <v xml:space="preserve"> </v>
      </c>
      <c r="J76" s="195"/>
      <c r="K76" s="195"/>
      <c r="L76" s="195"/>
      <c r="M76" s="195"/>
      <c r="N76" s="195"/>
      <c r="O76" s="195"/>
      <c r="P76" s="195"/>
      <c r="Q76" s="195"/>
      <c r="R76" s="195"/>
      <c r="S76" s="189" t="str">
        <f>IF(E76=0," ",IF(#REF!=1,E76*#REF!,E76*#REF!))</f>
        <v xml:space="preserve"> </v>
      </c>
      <c r="U76" s="182" t="str">
        <f t="shared" si="13"/>
        <v xml:space="preserve"> </v>
      </c>
      <c r="W76" s="182" t="str">
        <f>IF(OR(S76=" ",S76=0)," ",S76/#REF!-1)</f>
        <v xml:space="preserve"> </v>
      </c>
      <c r="X76" s="182" t="str">
        <f>IF(U76=" "," ",U76/#REF!-1)</f>
        <v xml:space="preserve"> </v>
      </c>
      <c r="AX76" s="191" t="str">
        <f t="shared" si="14"/>
        <v/>
      </c>
      <c r="AY76" s="192" t="str">
        <f t="shared" si="16"/>
        <v/>
      </c>
      <c r="AZ76" s="193" t="str">
        <f>IF(E76=0,"",AX76/#REF!-1)</f>
        <v/>
      </c>
    </row>
    <row r="77" spans="1:52" ht="12.95" customHeight="1">
      <c r="A77" s="185"/>
      <c r="B77" s="187"/>
      <c r="C77" s="187"/>
      <c r="D77" s="188"/>
      <c r="E77" s="189"/>
      <c r="F77" s="190" t="str">
        <f t="shared" si="15"/>
        <v xml:space="preserve"> </v>
      </c>
      <c r="G77" s="190"/>
      <c r="H77" s="194" t="str">
        <f t="shared" si="17"/>
        <v xml:space="preserve"> </v>
      </c>
      <c r="I77" s="194" t="str">
        <f>IF(E77=0," ",E77/#REF!-1)</f>
        <v xml:space="preserve"> </v>
      </c>
      <c r="J77" s="195"/>
      <c r="K77" s="195"/>
      <c r="L77" s="195"/>
      <c r="M77" s="195"/>
      <c r="N77" s="195"/>
      <c r="O77" s="195"/>
      <c r="P77" s="195"/>
      <c r="Q77" s="195"/>
      <c r="R77" s="195"/>
      <c r="S77" s="189" t="str">
        <f>IF(E77=0," ",IF(#REF!=1,E77*#REF!,E77*#REF!))</f>
        <v xml:space="preserve"> </v>
      </c>
      <c r="U77" s="182" t="str">
        <f t="shared" si="13"/>
        <v xml:space="preserve"> </v>
      </c>
      <c r="W77" s="182" t="str">
        <f>IF(OR(S77=" ",S77=0)," ",S77/#REF!-1)</f>
        <v xml:space="preserve"> </v>
      </c>
      <c r="X77" s="182" t="str">
        <f>IF(U77=" "," ",U77/#REF!-1)</f>
        <v xml:space="preserve"> </v>
      </c>
      <c r="AX77" s="191" t="str">
        <f t="shared" si="14"/>
        <v/>
      </c>
      <c r="AY77" s="192" t="str">
        <f t="shared" si="16"/>
        <v/>
      </c>
      <c r="AZ77" s="193" t="str">
        <f>IF(E77=0,"",AX77/#REF!-1)</f>
        <v/>
      </c>
    </row>
    <row r="78" spans="1:52" ht="12.95" customHeight="1">
      <c r="A78" s="185"/>
      <c r="B78" s="187"/>
      <c r="C78" s="187"/>
      <c r="D78" s="188"/>
      <c r="E78" s="189"/>
      <c r="F78" s="190" t="str">
        <f t="shared" si="15"/>
        <v xml:space="preserve"> </v>
      </c>
      <c r="G78" s="190"/>
      <c r="H78" s="194" t="str">
        <f t="shared" si="17"/>
        <v xml:space="preserve"> </v>
      </c>
      <c r="I78" s="194" t="str">
        <f>IF(E78=0," ",E78/#REF!-1)</f>
        <v xml:space="preserve"> </v>
      </c>
      <c r="J78" s="195"/>
      <c r="K78" s="195"/>
      <c r="L78" s="195"/>
      <c r="M78" s="195"/>
      <c r="N78" s="195"/>
      <c r="O78" s="195"/>
      <c r="P78" s="195"/>
      <c r="Q78" s="195"/>
      <c r="R78" s="195"/>
      <c r="S78" s="189" t="str">
        <f>IF(E78=0," ",IF(#REF!=1,E78*#REF!,E78*#REF!))</f>
        <v xml:space="preserve"> </v>
      </c>
      <c r="U78" s="182" t="str">
        <f t="shared" si="13"/>
        <v xml:space="preserve"> </v>
      </c>
      <c r="W78" s="182" t="str">
        <f>IF(OR(S78=" ",S78=0)," ",S78/#REF!-1)</f>
        <v xml:space="preserve"> </v>
      </c>
      <c r="X78" s="182" t="str">
        <f>IF(U78=" "," ",U78/#REF!-1)</f>
        <v xml:space="preserve"> </v>
      </c>
      <c r="AX78" s="191" t="str">
        <f t="shared" si="14"/>
        <v/>
      </c>
      <c r="AY78" s="192" t="str">
        <f t="shared" si="16"/>
        <v/>
      </c>
      <c r="AZ78" s="193" t="str">
        <f>IF(E78=0,"",AX78/#REF!-1)</f>
        <v/>
      </c>
    </row>
    <row r="79" spans="1:52" ht="12.95" customHeight="1">
      <c r="A79" s="185"/>
      <c r="B79" s="187"/>
      <c r="C79" s="187"/>
      <c r="D79" s="188"/>
      <c r="E79" s="189"/>
      <c r="F79" s="190" t="str">
        <f t="shared" si="15"/>
        <v xml:space="preserve"> </v>
      </c>
      <c r="G79" s="190"/>
      <c r="H79" s="194" t="str">
        <f t="shared" si="17"/>
        <v xml:space="preserve"> </v>
      </c>
      <c r="I79" s="194" t="str">
        <f>IF(E79=0," ",E79/#REF!-1)</f>
        <v xml:space="preserve"> </v>
      </c>
      <c r="J79" s="195"/>
      <c r="K79" s="195"/>
      <c r="L79" s="195"/>
      <c r="M79" s="195"/>
      <c r="N79" s="195"/>
      <c r="O79" s="195"/>
      <c r="P79" s="195"/>
      <c r="Q79" s="195"/>
      <c r="R79" s="195"/>
      <c r="S79" s="189" t="str">
        <f>IF(E79=0," ",IF(#REF!=1,E79*#REF!,E79*#REF!))</f>
        <v xml:space="preserve"> </v>
      </c>
      <c r="U79" s="182" t="str">
        <f t="shared" si="13"/>
        <v xml:space="preserve"> </v>
      </c>
      <c r="W79" s="182" t="str">
        <f>IF(OR(S79=" ",S79=0)," ",S79/#REF!-1)</f>
        <v xml:space="preserve"> </v>
      </c>
      <c r="X79" s="182" t="str">
        <f>IF(U79=" "," ",U79/#REF!-1)</f>
        <v xml:space="preserve"> </v>
      </c>
      <c r="AX79" s="191" t="str">
        <f t="shared" si="14"/>
        <v/>
      </c>
      <c r="AY79" s="192" t="str">
        <f t="shared" si="16"/>
        <v/>
      </c>
      <c r="AZ79" s="193" t="str">
        <f>IF(E79=0,"",AX79/#REF!-1)</f>
        <v/>
      </c>
    </row>
    <row r="80" spans="1:52" ht="12.95" customHeight="1">
      <c r="A80" s="185"/>
      <c r="B80" s="187"/>
      <c r="C80" s="187"/>
      <c r="D80" s="188"/>
      <c r="E80" s="189"/>
      <c r="F80" s="190" t="str">
        <f t="shared" si="15"/>
        <v xml:space="preserve"> </v>
      </c>
      <c r="G80" s="190"/>
      <c r="H80" s="194" t="str">
        <f t="shared" si="17"/>
        <v xml:space="preserve"> </v>
      </c>
      <c r="I80" s="194" t="str">
        <f>IF(E80=0," ",E80/#REF!-1)</f>
        <v xml:space="preserve"> </v>
      </c>
      <c r="J80" s="195"/>
      <c r="K80" s="195"/>
      <c r="L80" s="195"/>
      <c r="M80" s="195"/>
      <c r="N80" s="195"/>
      <c r="O80" s="195"/>
      <c r="P80" s="195"/>
      <c r="Q80" s="195"/>
      <c r="R80" s="195"/>
      <c r="S80" s="189" t="str">
        <f>IF(E80=0," ",IF(#REF!=1,E80*#REF!,E80*#REF!))</f>
        <v xml:space="preserve"> </v>
      </c>
      <c r="U80" s="182" t="str">
        <f t="shared" si="13"/>
        <v xml:space="preserve"> </v>
      </c>
      <c r="W80" s="182" t="str">
        <f>IF(OR(S80=" ",S80=0)," ",S80/#REF!-1)</f>
        <v xml:space="preserve"> </v>
      </c>
      <c r="X80" s="182" t="str">
        <f>IF(U80=" "," ",U80/#REF!-1)</f>
        <v xml:space="preserve"> </v>
      </c>
      <c r="AX80" s="191" t="str">
        <f t="shared" si="14"/>
        <v/>
      </c>
      <c r="AY80" s="192" t="str">
        <f t="shared" si="16"/>
        <v/>
      </c>
      <c r="AZ80" s="193" t="str">
        <f>IF(E80=0,"",AX80/#REF!-1)</f>
        <v/>
      </c>
    </row>
    <row r="81" spans="1:55" ht="10.5" customHeight="1">
      <c r="A81" s="185"/>
      <c r="B81" s="187"/>
      <c r="C81" s="187"/>
      <c r="D81" s="188"/>
      <c r="E81" s="189"/>
      <c r="F81" s="190" t="str">
        <f>IF(E81=0," ",E81/E80-1)</f>
        <v xml:space="preserve"> </v>
      </c>
      <c r="G81" s="190"/>
      <c r="H81" s="194" t="str">
        <f>IF(E81=0," ",E81/$E$52-1)</f>
        <v xml:space="preserve"> </v>
      </c>
      <c r="I81" s="194" t="str">
        <f>IF(E81=0," ",E81/#REF!-1)</f>
        <v xml:space="preserve"> </v>
      </c>
      <c r="J81" s="195"/>
      <c r="K81" s="195"/>
      <c r="L81" s="195"/>
      <c r="M81" s="195"/>
      <c r="N81" s="195"/>
      <c r="O81" s="195"/>
      <c r="P81" s="195"/>
      <c r="Q81" s="195"/>
      <c r="R81" s="195"/>
      <c r="S81" s="189" t="str">
        <f>IF(E81=0," ",IF(#REF!=1,E81*#REF!,E81*#REF!))</f>
        <v xml:space="preserve"> </v>
      </c>
      <c r="U81" s="182" t="str">
        <f>IF(S81=" "," ",ROUND(S81,1))</f>
        <v xml:space="preserve"> </v>
      </c>
      <c r="W81" s="182" t="str">
        <f>IF(OR(S81=" ",S81=0)," ",S81/#REF!-1)</f>
        <v xml:space="preserve"> </v>
      </c>
      <c r="X81" s="182" t="str">
        <f>IF(U81=" "," ",U81/#REF!-1)</f>
        <v xml:space="preserve"> </v>
      </c>
      <c r="AX81" s="191" t="str">
        <f>IF(E81=0,"",ROUND(S81,1))</f>
        <v/>
      </c>
      <c r="AY81" s="192" t="str">
        <f>IF(E81=0,"",AX81/AX80-1)</f>
        <v/>
      </c>
      <c r="AZ81" s="193" t="str">
        <f>IF(E81=0,"",AX81/#REF!-1)</f>
        <v/>
      </c>
      <c r="BC81" s="196" t="e">
        <f>S81/#REF!-1</f>
        <v>#VALUE!</v>
      </c>
    </row>
    <row r="82" spans="1:55" ht="10.5" customHeight="1">
      <c r="A82" s="185"/>
      <c r="B82" s="187"/>
      <c r="C82" s="187"/>
      <c r="D82" s="187"/>
      <c r="E82" s="189"/>
      <c r="F82" s="190"/>
      <c r="G82" s="190"/>
      <c r="H82" s="194"/>
      <c r="I82" s="194"/>
      <c r="J82" s="197"/>
      <c r="K82" s="195"/>
      <c r="L82" s="195"/>
      <c r="M82" s="195"/>
      <c r="N82" s="195"/>
      <c r="O82" s="195"/>
      <c r="P82" s="195"/>
      <c r="Q82" s="195"/>
      <c r="R82" s="195"/>
      <c r="S82" s="189"/>
      <c r="U82" s="182">
        <f t="shared" ref="U82:U88" si="18">IF(S82=" "," ",ROUND(S82,1))</f>
        <v>0</v>
      </c>
      <c r="W82" s="182" t="e">
        <f t="shared" ref="W82:W88" si="19">IF(U82=" "," ",U82/U81-1)</f>
        <v>#VALUE!</v>
      </c>
      <c r="X82" s="182" t="e">
        <f>IF(U82=" "," ",U82/#REF!-1)</f>
        <v>#REF!</v>
      </c>
      <c r="AX82" s="191"/>
      <c r="AY82" s="192"/>
      <c r="AZ82" s="193"/>
      <c r="BC82" s="196"/>
    </row>
    <row r="83" spans="1:55" ht="10.5" customHeight="1">
      <c r="A83" s="185"/>
      <c r="B83" s="187"/>
      <c r="C83" s="187"/>
      <c r="D83" s="187"/>
      <c r="E83" s="187"/>
      <c r="F83" s="187"/>
      <c r="G83" s="187"/>
      <c r="H83" s="187"/>
      <c r="I83" s="187"/>
      <c r="J83" s="187"/>
      <c r="K83" s="187"/>
      <c r="L83" s="187"/>
      <c r="M83" s="187"/>
      <c r="N83" s="187"/>
      <c r="O83" s="187"/>
      <c r="P83" s="187"/>
      <c r="Q83" s="187"/>
      <c r="R83" s="187"/>
      <c r="S83" s="187"/>
      <c r="T83" s="187"/>
      <c r="U83" s="198">
        <f t="shared" si="18"/>
        <v>0</v>
      </c>
      <c r="V83" s="198"/>
      <c r="W83" s="199" t="e">
        <f>IF(U83=" "," ",U83/#REF!-1)</f>
        <v>#REF!</v>
      </c>
      <c r="X83" s="199" t="e">
        <f>IF(U83=" "," ",U83/#REF!-1)</f>
        <v>#REF!</v>
      </c>
    </row>
    <row r="84" spans="1:55" ht="10.5" customHeight="1">
      <c r="A84" s="185"/>
      <c r="B84" s="187"/>
      <c r="C84" s="187"/>
      <c r="D84" s="187"/>
      <c r="E84" s="187"/>
      <c r="F84" s="187"/>
      <c r="G84" s="187"/>
      <c r="H84" s="187"/>
      <c r="I84" s="187"/>
      <c r="J84" s="187"/>
      <c r="K84" s="187"/>
      <c r="L84" s="187"/>
      <c r="M84" s="187"/>
      <c r="N84" s="187"/>
      <c r="O84" s="187"/>
      <c r="P84" s="187"/>
      <c r="Q84" s="187"/>
      <c r="R84" s="187"/>
      <c r="S84" s="187"/>
      <c r="T84" s="187"/>
      <c r="U84" s="198">
        <f t="shared" si="18"/>
        <v>0</v>
      </c>
      <c r="V84" s="198"/>
      <c r="W84" s="199" t="e">
        <f t="shared" si="19"/>
        <v>#DIV/0!</v>
      </c>
      <c r="X84" s="199" t="e">
        <f>IF(U84=" "," ",U84/#REF!-1)</f>
        <v>#REF!</v>
      </c>
    </row>
    <row r="85" spans="1:55" ht="10.5" customHeight="1">
      <c r="A85" s="185"/>
      <c r="B85" s="187"/>
      <c r="C85" s="187"/>
      <c r="D85" s="187"/>
      <c r="E85" s="187"/>
      <c r="F85" s="187"/>
      <c r="G85" s="187"/>
      <c r="H85" s="187"/>
      <c r="I85" s="187"/>
      <c r="J85" s="187"/>
      <c r="K85" s="187"/>
      <c r="L85" s="187"/>
      <c r="M85" s="187"/>
      <c r="N85" s="187"/>
      <c r="O85" s="187"/>
      <c r="P85" s="187"/>
      <c r="Q85" s="187"/>
      <c r="R85" s="187"/>
      <c r="S85" s="187"/>
      <c r="T85" s="187"/>
      <c r="U85" s="198">
        <f t="shared" si="18"/>
        <v>0</v>
      </c>
      <c r="V85" s="198"/>
      <c r="W85" s="199" t="e">
        <f t="shared" si="19"/>
        <v>#DIV/0!</v>
      </c>
      <c r="X85" s="199" t="e">
        <f>IF(U85=" "," ",U85/#REF!-1)</f>
        <v>#REF!</v>
      </c>
    </row>
    <row r="86" spans="1:55" ht="10.5" customHeight="1">
      <c r="A86" s="185"/>
      <c r="C86" s="187"/>
      <c r="D86" s="187"/>
      <c r="E86" s="187"/>
      <c r="F86" s="187"/>
      <c r="G86" s="187"/>
      <c r="H86" s="187"/>
      <c r="I86" s="187"/>
      <c r="J86" s="187"/>
      <c r="K86" s="187"/>
      <c r="L86" s="187"/>
      <c r="M86" s="187"/>
      <c r="N86" s="187"/>
      <c r="O86" s="187"/>
      <c r="P86" s="187"/>
      <c r="Q86" s="187"/>
      <c r="R86" s="187"/>
      <c r="S86" s="187"/>
      <c r="T86" s="187"/>
      <c r="U86" s="198">
        <f t="shared" si="18"/>
        <v>0</v>
      </c>
      <c r="V86" s="198"/>
      <c r="W86" s="199" t="e">
        <f t="shared" si="19"/>
        <v>#DIV/0!</v>
      </c>
      <c r="X86" s="199" t="e">
        <f>IF(U86=" "," ",U86/#REF!-1)</f>
        <v>#REF!</v>
      </c>
    </row>
    <row r="87" spans="1:55" ht="10.5" customHeight="1">
      <c r="A87" s="185"/>
      <c r="C87" s="187"/>
      <c r="D87" s="187"/>
      <c r="E87" s="187"/>
      <c r="F87" s="187"/>
      <c r="G87" s="187"/>
      <c r="H87" s="187"/>
      <c r="I87" s="187"/>
      <c r="J87" s="187"/>
      <c r="K87" s="187"/>
      <c r="L87" s="187"/>
      <c r="M87" s="187"/>
      <c r="N87" s="187"/>
      <c r="O87" s="187"/>
      <c r="P87" s="187"/>
      <c r="Q87" s="187"/>
      <c r="R87" s="187"/>
      <c r="S87" s="187"/>
      <c r="T87" s="187"/>
      <c r="U87" s="198">
        <f t="shared" si="18"/>
        <v>0</v>
      </c>
      <c r="V87" s="198"/>
      <c r="W87" s="199" t="e">
        <f t="shared" si="19"/>
        <v>#DIV/0!</v>
      </c>
      <c r="X87" s="199" t="e">
        <f>IF(U87=" "," ",U87/#REF!-1)</f>
        <v>#REF!</v>
      </c>
    </row>
    <row r="88" spans="1:55" ht="10.5" customHeight="1">
      <c r="A88" s="185"/>
      <c r="C88" s="187"/>
      <c r="D88" s="187"/>
      <c r="E88" s="187"/>
      <c r="F88" s="187"/>
      <c r="G88" s="187"/>
      <c r="H88" s="187"/>
      <c r="I88" s="187"/>
      <c r="J88" s="187"/>
      <c r="K88" s="187"/>
      <c r="L88" s="187"/>
      <c r="M88" s="187"/>
      <c r="N88" s="187"/>
      <c r="O88" s="187"/>
      <c r="P88" s="187"/>
      <c r="Q88" s="187"/>
      <c r="R88" s="187"/>
      <c r="S88" s="187"/>
      <c r="T88" s="187"/>
      <c r="U88" s="198">
        <f t="shared" si="18"/>
        <v>0</v>
      </c>
      <c r="V88" s="198"/>
      <c r="W88" s="199" t="e">
        <f t="shared" si="19"/>
        <v>#DIV/0!</v>
      </c>
      <c r="X88" s="199" t="e">
        <f>IF(U88=" "," ",U88/#REF!-1)</f>
        <v>#REF!</v>
      </c>
    </row>
    <row r="89" spans="1:55" ht="10.5" customHeight="1">
      <c r="A89" s="185"/>
      <c r="C89" s="187"/>
      <c r="D89" s="187"/>
      <c r="E89" s="187"/>
      <c r="F89" s="187"/>
      <c r="G89" s="187"/>
      <c r="H89" s="187"/>
      <c r="I89" s="187"/>
      <c r="J89" s="187"/>
      <c r="K89" s="187"/>
      <c r="L89" s="187"/>
      <c r="M89" s="187"/>
      <c r="N89" s="187"/>
      <c r="O89" s="187"/>
      <c r="P89" s="187"/>
      <c r="Q89" s="187"/>
      <c r="R89" s="187"/>
      <c r="S89" s="187"/>
      <c r="T89" s="187"/>
      <c r="U89" s="198">
        <f>IF(S89=" "," ",ROUND(S89,1))</f>
        <v>0</v>
      </c>
      <c r="V89" s="198"/>
      <c r="W89" s="199" t="e">
        <f>IF(U89=" "," ",U89/U88-1)</f>
        <v>#DIV/0!</v>
      </c>
      <c r="X89" s="199" t="e">
        <f>IF(U89=" "," ",U89/#REF!-1)</f>
        <v>#REF!</v>
      </c>
    </row>
    <row r="90" spans="1:55">
      <c r="A90" s="185"/>
      <c r="E90" s="200"/>
    </row>
    <row r="91" spans="1:55">
      <c r="A91" s="185"/>
      <c r="E91" s="201"/>
    </row>
    <row r="92" spans="1:55">
      <c r="E92" s="196"/>
    </row>
  </sheetData>
  <mergeCells count="12">
    <mergeCell ref="B3:B5"/>
    <mergeCell ref="C3:C5"/>
    <mergeCell ref="P3:P5"/>
    <mergeCell ref="D3:G3"/>
    <mergeCell ref="E4:G4"/>
    <mergeCell ref="I4:K4"/>
    <mergeCell ref="L3:O3"/>
    <mergeCell ref="L4:L5"/>
    <mergeCell ref="M4:O4"/>
    <mergeCell ref="H3:K3"/>
    <mergeCell ref="D4:D5"/>
    <mergeCell ref="H4:H5"/>
  </mergeCells>
  <pageMargins left="0.511811024" right="0.511811024" top="0.78740157499999996" bottom="0.78740157499999996" header="0.31496062000000002" footer="0.31496062000000002"/>
  <pageSetup paperSize="9" orientation="portrait" r:id="rId1"/>
  <ignoredErrors>
    <ignoredError sqref="R11:R12 R15:R41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4"/>
  <dimension ref="B1:U241"/>
  <sheetViews>
    <sheetView showGridLines="0" zoomScale="90" zoomScaleNormal="90" workbookViewId="0">
      <selection activeCell="Q18" sqref="Q18"/>
    </sheetView>
  </sheetViews>
  <sheetFormatPr defaultColWidth="9.140625" defaultRowHeight="12.75"/>
  <cols>
    <col min="1" max="1" width="3.7109375" style="2" customWidth="1"/>
    <col min="2" max="2" width="6.5703125" style="2" customWidth="1"/>
    <col min="3" max="14" width="12.28515625" style="2" customWidth="1"/>
    <col min="15" max="15" width="13.28515625" style="2" customWidth="1"/>
    <col min="16" max="16" width="11.28515625" style="2" bestFit="1" customWidth="1"/>
    <col min="17" max="17" width="13.7109375" style="2" customWidth="1"/>
    <col min="18" max="18" width="14.28515625" style="2" bestFit="1" customWidth="1"/>
    <col min="19" max="16384" width="9.140625" style="2"/>
  </cols>
  <sheetData>
    <row r="1" spans="2:21" ht="30.2" customHeight="1">
      <c r="B1" s="19" t="s">
        <v>400</v>
      </c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75"/>
    </row>
    <row r="2" spans="2:21" ht="15">
      <c r="B2" s="5" t="s">
        <v>229</v>
      </c>
      <c r="O2" s="65"/>
    </row>
    <row r="3" spans="2:21" ht="12.75" customHeight="1">
      <c r="B3" s="893" t="s">
        <v>42</v>
      </c>
      <c r="C3" s="893"/>
      <c r="D3" s="893"/>
      <c r="E3" s="893"/>
      <c r="F3" s="893"/>
      <c r="G3" s="893"/>
      <c r="H3" s="893"/>
      <c r="I3" s="893"/>
      <c r="J3" s="893"/>
      <c r="K3" s="893"/>
      <c r="L3" s="893"/>
      <c r="M3" s="893"/>
      <c r="N3" s="893"/>
      <c r="O3" s="893"/>
    </row>
    <row r="4" spans="2:21">
      <c r="B4" s="893" t="s">
        <v>31</v>
      </c>
      <c r="C4" s="21" t="s">
        <v>32</v>
      </c>
      <c r="D4" s="21" t="s">
        <v>33</v>
      </c>
      <c r="E4" s="21" t="s">
        <v>34</v>
      </c>
      <c r="F4" s="21" t="s">
        <v>35</v>
      </c>
      <c r="G4" s="21" t="s">
        <v>36</v>
      </c>
      <c r="H4" s="21" t="s">
        <v>37</v>
      </c>
      <c r="I4" s="21" t="s">
        <v>38</v>
      </c>
      <c r="J4" s="21" t="s">
        <v>39</v>
      </c>
      <c r="K4" s="21" t="s">
        <v>40</v>
      </c>
      <c r="L4" s="21" t="s">
        <v>240</v>
      </c>
      <c r="M4" s="21" t="s">
        <v>241</v>
      </c>
      <c r="N4" s="21" t="s">
        <v>242</v>
      </c>
      <c r="O4" s="894" t="s">
        <v>42</v>
      </c>
      <c r="Q4" s="896" t="s">
        <v>325</v>
      </c>
      <c r="R4" s="898" t="s">
        <v>326</v>
      </c>
    </row>
    <row r="5" spans="2:21">
      <c r="B5" s="893"/>
      <c r="C5" s="71">
        <f>C$45</f>
        <v>1</v>
      </c>
      <c r="D5" s="71">
        <f t="shared" ref="D5:N5" si="0">D$45</f>
        <v>2</v>
      </c>
      <c r="E5" s="71">
        <f t="shared" si="0"/>
        <v>3</v>
      </c>
      <c r="F5" s="71">
        <f t="shared" si="0"/>
        <v>4</v>
      </c>
      <c r="G5" s="71">
        <f t="shared" si="0"/>
        <v>5</v>
      </c>
      <c r="H5" s="71">
        <f t="shared" si="0"/>
        <v>6</v>
      </c>
      <c r="I5" s="71">
        <f t="shared" si="0"/>
        <v>7</v>
      </c>
      <c r="J5" s="71">
        <f t="shared" si="0"/>
        <v>8</v>
      </c>
      <c r="K5" s="71">
        <f t="shared" si="0"/>
        <v>9</v>
      </c>
      <c r="L5" s="71">
        <f t="shared" si="0"/>
        <v>1.5</v>
      </c>
      <c r="M5" s="71">
        <f t="shared" si="0"/>
        <v>2</v>
      </c>
      <c r="N5" s="71">
        <f t="shared" si="0"/>
        <v>0.5</v>
      </c>
      <c r="O5" s="895"/>
      <c r="Q5" s="897" t="s">
        <v>325</v>
      </c>
      <c r="R5" s="899"/>
    </row>
    <row r="6" spans="2:21">
      <c r="B6" s="3">
        <v>1</v>
      </c>
      <c r="C6" s="10">
        <f t="shared" ref="C6:O6" si="1">C46+C86+C126+C166+C206</f>
        <v>1132969.8689955464</v>
      </c>
      <c r="D6" s="10">
        <f t="shared" si="1"/>
        <v>381352.4575924956</v>
      </c>
      <c r="E6" s="10">
        <f t="shared" si="1"/>
        <v>245666.46241853057</v>
      </c>
      <c r="F6" s="10">
        <f t="shared" si="1"/>
        <v>8894.2813759364471</v>
      </c>
      <c r="G6" s="10">
        <f t="shared" si="1"/>
        <v>169146.27179452404</v>
      </c>
      <c r="H6" s="10">
        <f t="shared" si="1"/>
        <v>43649.265565211637</v>
      </c>
      <c r="I6" s="10">
        <f t="shared" si="1"/>
        <v>20245.225683670607</v>
      </c>
      <c r="J6" s="10">
        <f t="shared" si="1"/>
        <v>2084.9520326576894</v>
      </c>
      <c r="K6" s="10">
        <f t="shared" si="1"/>
        <v>0</v>
      </c>
      <c r="L6" s="10">
        <f t="shared" si="1"/>
        <v>1700.2620353304746</v>
      </c>
      <c r="M6" s="10">
        <f t="shared" si="1"/>
        <v>32.227914548680658</v>
      </c>
      <c r="N6" s="10">
        <f t="shared" si="1"/>
        <v>176168.97863406496</v>
      </c>
      <c r="O6" s="10">
        <f t="shared" si="1"/>
        <v>2181910.2540425174</v>
      </c>
      <c r="Q6" s="105">
        <f>SUMPRODUCT($C$5:$N$5,$C6:$N6)</f>
        <v>4024973.7835498466</v>
      </c>
      <c r="R6" s="101"/>
      <c r="U6" s="72"/>
    </row>
    <row r="7" spans="2:21">
      <c r="B7" s="3">
        <v>2</v>
      </c>
      <c r="C7" s="10">
        <f t="shared" ref="C7:O7" si="2">C47+C87+C127+C167+C207</f>
        <v>2399634.7696540859</v>
      </c>
      <c r="D7" s="10">
        <f t="shared" si="2"/>
        <v>807689.7246219425</v>
      </c>
      <c r="E7" s="10">
        <f t="shared" si="2"/>
        <v>520271.14118022477</v>
      </c>
      <c r="F7" s="10">
        <f t="shared" si="2"/>
        <v>18829.443018815953</v>
      </c>
      <c r="G7" s="10">
        <f t="shared" si="2"/>
        <v>358108.70032883203</v>
      </c>
      <c r="H7" s="10">
        <f t="shared" si="2"/>
        <v>92412.469411159545</v>
      </c>
      <c r="I7" s="10">
        <f t="shared" si="2"/>
        <v>42861.499106676813</v>
      </c>
      <c r="J7" s="10">
        <f t="shared" si="2"/>
        <v>4414.5188667210632</v>
      </c>
      <c r="K7" s="10">
        <f t="shared" si="2"/>
        <v>0</v>
      </c>
      <c r="L7" s="10">
        <f t="shared" si="2"/>
        <v>3601.1618747805105</v>
      </c>
      <c r="M7" s="10">
        <f t="shared" si="2"/>
        <v>68.258853497152344</v>
      </c>
      <c r="N7" s="10">
        <f t="shared" si="2"/>
        <v>373126.61001261981</v>
      </c>
      <c r="O7" s="10">
        <f t="shared" si="2"/>
        <v>4621018.2969293557</v>
      </c>
      <c r="Q7" s="106">
        <f t="shared" ref="Q7:Q40" si="3">SUMPRODUCT($C$5:$N$5,$C7:$N7)</f>
        <v>8523611.9428310078</v>
      </c>
      <c r="R7" s="102">
        <f>IF(Q6=0,0,Q7/(Q6*2)-1)</f>
        <v>5.8840678374998401E-2</v>
      </c>
      <c r="U7" s="72"/>
    </row>
    <row r="8" spans="2:21">
      <c r="B8" s="3">
        <v>3</v>
      </c>
      <c r="C8" s="10">
        <f t="shared" ref="C8:O8" si="4">C48+C88+C128+C168+C208</f>
        <v>4152866.6083158338</v>
      </c>
      <c r="D8" s="10">
        <f t="shared" si="4"/>
        <v>1158909.362314062</v>
      </c>
      <c r="E8" s="10">
        <f t="shared" si="4"/>
        <v>598728.65466326557</v>
      </c>
      <c r="F8" s="10">
        <f t="shared" si="4"/>
        <v>21446.593113141626</v>
      </c>
      <c r="G8" s="10">
        <f t="shared" si="4"/>
        <v>399335.85383945523</v>
      </c>
      <c r="H8" s="10">
        <f t="shared" si="4"/>
        <v>102873.69520398034</v>
      </c>
      <c r="I8" s="10">
        <f t="shared" si="4"/>
        <v>53148.675038778012</v>
      </c>
      <c r="J8" s="10">
        <f t="shared" si="4"/>
        <v>7080.2826190450915</v>
      </c>
      <c r="K8" s="10">
        <f t="shared" si="4"/>
        <v>0</v>
      </c>
      <c r="L8" s="10">
        <f t="shared" si="4"/>
        <v>12174.697438330659</v>
      </c>
      <c r="M8" s="10">
        <f t="shared" si="4"/>
        <v>89.244403936960978</v>
      </c>
      <c r="N8" s="10">
        <f t="shared" si="4"/>
        <v>639445.35218799871</v>
      </c>
      <c r="O8" s="10">
        <f t="shared" si="4"/>
        <v>7146099.0191378286</v>
      </c>
      <c r="P8" s="179"/>
      <c r="Q8" s="106">
        <f>SUMPRODUCT($C$5:$N$5,$C8:$N8)</f>
        <v>11733425.307090655</v>
      </c>
      <c r="R8" s="102">
        <f>IF(Q7=0,0,Q8/Q7-1)</f>
        <v>0.37657901201841315</v>
      </c>
      <c r="U8" s="72"/>
    </row>
    <row r="9" spans="2:21">
      <c r="B9" s="3">
        <v>4</v>
      </c>
      <c r="C9" s="10">
        <f t="shared" ref="C9:O9" si="5">C49+C89+C129+C169+C209</f>
        <v>4461743.7799661979</v>
      </c>
      <c r="D9" s="10">
        <f t="shared" si="5"/>
        <v>1241426.1649578477</v>
      </c>
      <c r="E9" s="10">
        <f t="shared" si="5"/>
        <v>629858.68488072907</v>
      </c>
      <c r="F9" s="10">
        <f t="shared" si="5"/>
        <v>22554.409284195088</v>
      </c>
      <c r="G9" s="10">
        <f t="shared" si="5"/>
        <v>419592.0793308377</v>
      </c>
      <c r="H9" s="10">
        <f t="shared" si="5"/>
        <v>108098.50075888554</v>
      </c>
      <c r="I9" s="10">
        <f t="shared" si="5"/>
        <v>56040.97042337431</v>
      </c>
      <c r="J9" s="10">
        <f t="shared" si="5"/>
        <v>7518.9840912699237</v>
      </c>
      <c r="K9" s="10">
        <f t="shared" si="5"/>
        <v>0</v>
      </c>
      <c r="L9" s="10">
        <f t="shared" si="5"/>
        <v>13080.213185675011</v>
      </c>
      <c r="M9" s="10">
        <f t="shared" si="5"/>
        <v>95.88212233091879</v>
      </c>
      <c r="N9" s="10">
        <f t="shared" si="5"/>
        <v>687005.28859753814</v>
      </c>
      <c r="O9" s="10">
        <f t="shared" si="5"/>
        <v>7647014.9575988818</v>
      </c>
      <c r="P9" s="180"/>
      <c r="Q9" s="106">
        <f t="shared" si="3"/>
        <v>12486694.596884087</v>
      </c>
      <c r="R9" s="102">
        <f>IF(Q8=0,0,Q9/Q8-1)</f>
        <v>6.4198583966629252E-2</v>
      </c>
      <c r="U9" s="72"/>
    </row>
    <row r="10" spans="2:21">
      <c r="B10" s="3">
        <v>5</v>
      </c>
      <c r="C10" s="10">
        <f t="shared" ref="C10:O10" si="6">C50+C90+C130+C170+C210</f>
        <v>4779737.8586594388</v>
      </c>
      <c r="D10" s="10">
        <f t="shared" si="6"/>
        <v>1326560.9278186283</v>
      </c>
      <c r="E10" s="10">
        <f t="shared" si="6"/>
        <v>662367.3269787312</v>
      </c>
      <c r="F10" s="10">
        <f t="shared" si="6"/>
        <v>23711.301688154286</v>
      </c>
      <c r="G10" s="10">
        <f t="shared" si="6"/>
        <v>440751.20094477496</v>
      </c>
      <c r="H10" s="10">
        <f t="shared" si="6"/>
        <v>113556.19553980342</v>
      </c>
      <c r="I10" s="10">
        <f t="shared" si="6"/>
        <v>59062.186286721488</v>
      </c>
      <c r="J10" s="10">
        <f t="shared" si="6"/>
        <v>7977.2401373910307</v>
      </c>
      <c r="K10" s="10">
        <f t="shared" si="6"/>
        <v>0</v>
      </c>
      <c r="L10" s="10">
        <f t="shared" si="6"/>
        <v>14012.456395104982</v>
      </c>
      <c r="M10" s="10">
        <f t="shared" si="6"/>
        <v>102.71576152164886</v>
      </c>
      <c r="N10" s="10">
        <f t="shared" si="6"/>
        <v>735969.01770853903</v>
      </c>
      <c r="O10" s="10">
        <f t="shared" si="6"/>
        <v>8163808.4279188085</v>
      </c>
      <c r="P10" s="180"/>
      <c r="Q10" s="106">
        <f t="shared" si="3"/>
        <v>13266361.93002435</v>
      </c>
      <c r="R10" s="102">
        <f>IF(Q9=0,0,Q10/Q9-1)</f>
        <v>6.2439849640818501E-2</v>
      </c>
      <c r="U10" s="72"/>
    </row>
    <row r="11" spans="2:21">
      <c r="B11" s="3">
        <v>6</v>
      </c>
      <c r="C11" s="10">
        <f t="shared" ref="C11:O11" si="7">C51+C91+C131+C171+C211</f>
        <v>5113463.492524039</v>
      </c>
      <c r="D11" s="10">
        <f t="shared" si="7"/>
        <v>1414904.9778288906</v>
      </c>
      <c r="E11" s="10">
        <f t="shared" si="7"/>
        <v>693045.11934984196</v>
      </c>
      <c r="F11" s="10">
        <f t="shared" si="7"/>
        <v>24800.726384593363</v>
      </c>
      <c r="G11" s="10">
        <f t="shared" si="7"/>
        <v>460553.03668620071</v>
      </c>
      <c r="H11" s="10">
        <f t="shared" si="7"/>
        <v>118665.92342991967</v>
      </c>
      <c r="I11" s="10">
        <f t="shared" si="7"/>
        <v>61953.229288864502</v>
      </c>
      <c r="J11" s="10">
        <f t="shared" si="7"/>
        <v>8431.8821747990769</v>
      </c>
      <c r="K11" s="10">
        <f t="shared" si="7"/>
        <v>0</v>
      </c>
      <c r="L11" s="10">
        <f t="shared" si="7"/>
        <v>14990.818813869098</v>
      </c>
      <c r="M11" s="10">
        <f t="shared" si="7"/>
        <v>109.88746918331367</v>
      </c>
      <c r="N11" s="10">
        <f t="shared" si="7"/>
        <v>787355.04225683387</v>
      </c>
      <c r="O11" s="10">
        <f t="shared" si="7"/>
        <v>8698274.1362070348</v>
      </c>
      <c r="Q11" s="106">
        <f t="shared" si="3"/>
        <v>14053883.622488271</v>
      </c>
      <c r="R11" s="102">
        <f>IF(Q10=0,0,Q11/Q10-1)</f>
        <v>5.9362295150534594E-2</v>
      </c>
      <c r="U11" s="72"/>
    </row>
    <row r="12" spans="2:21">
      <c r="B12" s="3">
        <v>7</v>
      </c>
      <c r="C12" s="10">
        <f t="shared" ref="C12:O12" si="8">C52+C92+C132+C172+C212</f>
        <v>5460872.8563688323</v>
      </c>
      <c r="D12" s="10">
        <f t="shared" si="8"/>
        <v>1504743.9877020647</v>
      </c>
      <c r="E12" s="10">
        <f t="shared" si="8"/>
        <v>717838.66871033714</v>
      </c>
      <c r="F12" s="10">
        <f t="shared" si="8"/>
        <v>25676.125962633341</v>
      </c>
      <c r="G12" s="10">
        <f t="shared" si="8"/>
        <v>476189.65164989611</v>
      </c>
      <c r="H12" s="10">
        <f t="shared" si="8"/>
        <v>122705.5255177019</v>
      </c>
      <c r="I12" s="10">
        <f t="shared" si="8"/>
        <v>64376.264681604531</v>
      </c>
      <c r="J12" s="10">
        <f t="shared" si="8"/>
        <v>8847.6637545354752</v>
      </c>
      <c r="K12" s="10">
        <f t="shared" si="8"/>
        <v>0</v>
      </c>
      <c r="L12" s="10">
        <f t="shared" si="8"/>
        <v>16009.296961850976</v>
      </c>
      <c r="M12" s="10">
        <f t="shared" si="8"/>
        <v>117.35323789747446</v>
      </c>
      <c r="N12" s="10">
        <f t="shared" si="8"/>
        <v>840848.04455368198</v>
      </c>
      <c r="O12" s="10">
        <f t="shared" si="8"/>
        <v>9238225.4391010366</v>
      </c>
      <c r="Q12" s="106">
        <f t="shared" si="3"/>
        <v>14809850.590113124</v>
      </c>
      <c r="R12" s="102">
        <f t="shared" ref="R12:R40" si="9">IF(Q11=0,0,Q12/Q11-1)</f>
        <v>5.3790609623036501E-2</v>
      </c>
      <c r="U12" s="72"/>
    </row>
    <row r="13" spans="2:21">
      <c r="B13" s="3">
        <v>8</v>
      </c>
      <c r="C13" s="10">
        <f t="shared" ref="C13:O13" si="10">C53+C93+C133+C173+C213</f>
        <v>5815976.5866810344</v>
      </c>
      <c r="D13" s="10">
        <f t="shared" si="10"/>
        <v>1597045.1764191068</v>
      </c>
      <c r="E13" s="10">
        <f t="shared" si="10"/>
        <v>744569.2168434317</v>
      </c>
      <c r="F13" s="10">
        <f t="shared" si="10"/>
        <v>26620.825648401737</v>
      </c>
      <c r="G13" s="10">
        <f t="shared" si="10"/>
        <v>493119.74940836901</v>
      </c>
      <c r="H13" s="10">
        <f t="shared" si="10"/>
        <v>127078.4451424079</v>
      </c>
      <c r="I13" s="10">
        <f t="shared" si="10"/>
        <v>66974.472996810422</v>
      </c>
      <c r="J13" s="10">
        <f t="shared" si="10"/>
        <v>9287.6025907715448</v>
      </c>
      <c r="K13" s="10">
        <f t="shared" si="10"/>
        <v>0</v>
      </c>
      <c r="L13" s="10">
        <f t="shared" si="10"/>
        <v>17050.332199322016</v>
      </c>
      <c r="M13" s="10">
        <f t="shared" si="10"/>
        <v>124.98435725104211</v>
      </c>
      <c r="N13" s="10">
        <f t="shared" si="10"/>
        <v>895525.80122375349</v>
      </c>
      <c r="O13" s="10">
        <f t="shared" si="10"/>
        <v>9793373.193510659</v>
      </c>
      <c r="Q13" s="106">
        <f t="shared" si="3"/>
        <v>15595037.809868652</v>
      </c>
      <c r="R13" s="102">
        <f t="shared" si="9"/>
        <v>5.3017902846346665E-2</v>
      </c>
      <c r="U13" s="72"/>
    </row>
    <row r="14" spans="2:21">
      <c r="B14" s="3">
        <v>9</v>
      </c>
      <c r="C14" s="10">
        <f t="shared" ref="C14:O14" si="11">C54+C94+C134+C174+C214</f>
        <v>6184092.3331814827</v>
      </c>
      <c r="D14" s="10">
        <f t="shared" si="11"/>
        <v>1693245.9401471966</v>
      </c>
      <c r="E14" s="10">
        <f t="shared" si="11"/>
        <v>773808.18745984766</v>
      </c>
      <c r="F14" s="10">
        <f t="shared" si="11"/>
        <v>27655.145357459136</v>
      </c>
      <c r="G14" s="10">
        <f t="shared" si="11"/>
        <v>511714.68752053985</v>
      </c>
      <c r="H14" s="10">
        <f t="shared" si="11"/>
        <v>131880.48460850396</v>
      </c>
      <c r="I14" s="10">
        <f t="shared" si="11"/>
        <v>69801.354594613847</v>
      </c>
      <c r="J14" s="10">
        <f t="shared" si="11"/>
        <v>9759.9342260304456</v>
      </c>
      <c r="K14" s="10">
        <f t="shared" si="11"/>
        <v>0</v>
      </c>
      <c r="L14" s="10">
        <f t="shared" si="11"/>
        <v>18129.513944999544</v>
      </c>
      <c r="M14" s="10">
        <f t="shared" si="11"/>
        <v>132.89510264085487</v>
      </c>
      <c r="N14" s="10">
        <f t="shared" si="11"/>
        <v>952207.1072631951</v>
      </c>
      <c r="O14" s="10">
        <f t="shared" si="11"/>
        <v>10372427.583406508</v>
      </c>
      <c r="Q14" s="106">
        <f t="shared" si="3"/>
        <v>16422738.273263898</v>
      </c>
      <c r="R14" s="102">
        <f t="shared" si="9"/>
        <v>5.3074604466266218E-2</v>
      </c>
      <c r="U14" s="72"/>
    </row>
    <row r="15" spans="2:21">
      <c r="B15" s="3">
        <v>10</v>
      </c>
      <c r="C15" s="10">
        <f t="shared" ref="C15:O15" si="12">C55+C95+C135+C175+C215</f>
        <v>6563981.7856946876</v>
      </c>
      <c r="D15" s="10">
        <f t="shared" si="12"/>
        <v>1793023.657559453</v>
      </c>
      <c r="E15" s="10">
        <f t="shared" si="12"/>
        <v>805444.95734536508</v>
      </c>
      <c r="F15" s="10">
        <f t="shared" si="12"/>
        <v>28775.133263849257</v>
      </c>
      <c r="G15" s="10">
        <f t="shared" si="12"/>
        <v>531901.79279844917</v>
      </c>
      <c r="H15" s="10">
        <f t="shared" si="12"/>
        <v>137092.91400338092</v>
      </c>
      <c r="I15" s="10">
        <f t="shared" si="12"/>
        <v>72846.984886573686</v>
      </c>
      <c r="J15" s="10">
        <f t="shared" si="12"/>
        <v>10263.267915974497</v>
      </c>
      <c r="K15" s="10">
        <f t="shared" si="12"/>
        <v>0</v>
      </c>
      <c r="L15" s="10">
        <f t="shared" si="12"/>
        <v>19243.211922945673</v>
      </c>
      <c r="M15" s="10">
        <f t="shared" si="12"/>
        <v>141.05886298981261</v>
      </c>
      <c r="N15" s="10">
        <f t="shared" si="12"/>
        <v>1010701.2915619113</v>
      </c>
      <c r="O15" s="10">
        <f t="shared" si="12"/>
        <v>10973416.055815579</v>
      </c>
      <c r="Q15" s="106">
        <f t="shared" si="3"/>
        <v>17290063.572842781</v>
      </c>
      <c r="R15" s="102">
        <f t="shared" si="9"/>
        <v>5.2812465567382505E-2</v>
      </c>
      <c r="U15" s="72"/>
    </row>
    <row r="16" spans="2:21">
      <c r="B16" s="3">
        <v>11</v>
      </c>
      <c r="C16" s="10">
        <f t="shared" ref="C16:O16" si="13">C56+C96+C136+C176+C216</f>
        <v>6954394.5533916876</v>
      </c>
      <c r="D16" s="10">
        <f t="shared" si="13"/>
        <v>1896050.9087184111</v>
      </c>
      <c r="E16" s="10">
        <f t="shared" si="13"/>
        <v>839364.04846191418</v>
      </c>
      <c r="F16" s="10">
        <f t="shared" si="13"/>
        <v>29976.665428125518</v>
      </c>
      <c r="G16" s="10">
        <f t="shared" si="13"/>
        <v>553605.23040439666</v>
      </c>
      <c r="H16" s="10">
        <f t="shared" si="13"/>
        <v>142696.18715661915</v>
      </c>
      <c r="I16" s="10">
        <f t="shared" si="13"/>
        <v>76100.965242024453</v>
      </c>
      <c r="J16" s="10">
        <f t="shared" si="13"/>
        <v>10796.135283314168</v>
      </c>
      <c r="K16" s="10">
        <f t="shared" si="13"/>
        <v>0</v>
      </c>
      <c r="L16" s="10">
        <f t="shared" si="13"/>
        <v>20387.76044113173</v>
      </c>
      <c r="M16" s="10">
        <f t="shared" si="13"/>
        <v>149.44876760960682</v>
      </c>
      <c r="N16" s="10">
        <f t="shared" si="13"/>
        <v>1070815.8228687434</v>
      </c>
      <c r="O16" s="10">
        <f t="shared" si="13"/>
        <v>11594337.726163978</v>
      </c>
      <c r="Q16" s="106">
        <f t="shared" si="3"/>
        <v>18194062.741480425</v>
      </c>
      <c r="R16" s="102">
        <f t="shared" si="9"/>
        <v>5.2284317222380805E-2</v>
      </c>
      <c r="U16" s="72"/>
    </row>
    <row r="17" spans="2:21">
      <c r="B17" s="3">
        <v>12</v>
      </c>
      <c r="C17" s="10">
        <f t="shared" ref="C17:O17" si="14">C57+C97+C137+C177+C217</f>
        <v>7353974.3907850729</v>
      </c>
      <c r="D17" s="10">
        <f t="shared" si="14"/>
        <v>2001969.9142332475</v>
      </c>
      <c r="E17" s="10">
        <f t="shared" si="14"/>
        <v>875434.3774675891</v>
      </c>
      <c r="F17" s="10">
        <f t="shared" si="14"/>
        <v>31255.063138819332</v>
      </c>
      <c r="G17" s="10">
        <f t="shared" si="14"/>
        <v>576738.9898671743</v>
      </c>
      <c r="H17" s="10">
        <f t="shared" si="14"/>
        <v>148668.13252029257</v>
      </c>
      <c r="I17" s="10">
        <f t="shared" si="14"/>
        <v>79551.422623085964</v>
      </c>
      <c r="J17" s="10">
        <f t="shared" si="14"/>
        <v>11356.838869627532</v>
      </c>
      <c r="K17" s="10">
        <f t="shared" si="14"/>
        <v>0</v>
      </c>
      <c r="L17" s="10">
        <f t="shared" si="14"/>
        <v>21559.18348009486</v>
      </c>
      <c r="M17" s="10">
        <f t="shared" si="14"/>
        <v>158.03567101314815</v>
      </c>
      <c r="N17" s="10">
        <f t="shared" si="14"/>
        <v>1132341.8707648152</v>
      </c>
      <c r="O17" s="10">
        <f t="shared" si="14"/>
        <v>12233008.219420832</v>
      </c>
      <c r="Q17" s="106">
        <f t="shared" si="3"/>
        <v>19131481.799930435</v>
      </c>
      <c r="R17" s="102">
        <f t="shared" si="9"/>
        <v>5.1523349774583282E-2</v>
      </c>
      <c r="U17" s="72"/>
    </row>
    <row r="18" spans="2:21">
      <c r="B18" s="3">
        <v>13</v>
      </c>
      <c r="C18" s="10">
        <f t="shared" ref="C18:O18" si="15">C58+C98+C138+C178+C218</f>
        <v>7761300.4970937474</v>
      </c>
      <c r="D18" s="10">
        <f t="shared" si="15"/>
        <v>2110403.4638758497</v>
      </c>
      <c r="E18" s="10">
        <f t="shared" si="15"/>
        <v>913513.13909959723</v>
      </c>
      <c r="F18" s="10">
        <f t="shared" si="15"/>
        <v>32605.23106264996</v>
      </c>
      <c r="G18" s="10">
        <f t="shared" si="15"/>
        <v>601209.40637861122</v>
      </c>
      <c r="H18" s="10">
        <f t="shared" si="15"/>
        <v>154984.60353746027</v>
      </c>
      <c r="I18" s="10">
        <f t="shared" si="15"/>
        <v>83185.370662976027</v>
      </c>
      <c r="J18" s="10">
        <f t="shared" si="15"/>
        <v>11943.507175683058</v>
      </c>
      <c r="K18" s="10">
        <f t="shared" si="15"/>
        <v>0</v>
      </c>
      <c r="L18" s="10">
        <f t="shared" si="15"/>
        <v>22753.315767684166</v>
      </c>
      <c r="M18" s="10">
        <f t="shared" si="15"/>
        <v>166.78904043095929</v>
      </c>
      <c r="N18" s="10">
        <f t="shared" si="15"/>
        <v>1195060.6648099592</v>
      </c>
      <c r="O18" s="10">
        <f t="shared" si="15"/>
        <v>12887125.988504648</v>
      </c>
      <c r="Q18" s="106">
        <f t="shared" si="3"/>
        <v>20098861.955696315</v>
      </c>
      <c r="R18" s="102">
        <f t="shared" si="9"/>
        <v>5.0564831615363737E-2</v>
      </c>
      <c r="U18" s="72"/>
    </row>
    <row r="19" spans="2:21">
      <c r="B19" s="3">
        <v>14</v>
      </c>
      <c r="C19" s="10">
        <f t="shared" ref="C19:O19" si="16">C59+C99+C139+C179+C219</f>
        <v>8175028.0588915739</v>
      </c>
      <c r="D19" s="10">
        <f t="shared" si="16"/>
        <v>2220993.083023292</v>
      </c>
      <c r="E19" s="10">
        <f t="shared" si="16"/>
        <v>953461.5200279156</v>
      </c>
      <c r="F19" s="10">
        <f t="shared" si="16"/>
        <v>34022.216467794831</v>
      </c>
      <c r="G19" s="10">
        <f t="shared" si="16"/>
        <v>626925.40346005908</v>
      </c>
      <c r="H19" s="10">
        <f t="shared" si="16"/>
        <v>161622.12062653099</v>
      </c>
      <c r="I19" s="10">
        <f t="shared" si="16"/>
        <v>86990.173190342961</v>
      </c>
      <c r="J19" s="10">
        <f t="shared" si="16"/>
        <v>12554.316906443659</v>
      </c>
      <c r="K19" s="10">
        <f t="shared" si="16"/>
        <v>0</v>
      </c>
      <c r="L19" s="10">
        <f t="shared" si="16"/>
        <v>23966.214799090692</v>
      </c>
      <c r="M19" s="10">
        <f t="shared" si="16"/>
        <v>175.67997604902217</v>
      </c>
      <c r="N19" s="10">
        <f t="shared" si="16"/>
        <v>1258765.1348581754</v>
      </c>
      <c r="O19" s="10">
        <f t="shared" si="16"/>
        <v>13554503.922227269</v>
      </c>
      <c r="Q19" s="106">
        <f t="shared" si="3"/>
        <v>21092896.389116343</v>
      </c>
      <c r="R19" s="102">
        <f t="shared" si="9"/>
        <v>4.9457249649814461E-2</v>
      </c>
      <c r="U19" s="72"/>
    </row>
    <row r="20" spans="2:21">
      <c r="B20" s="3">
        <v>15</v>
      </c>
      <c r="C20" s="10">
        <f t="shared" ref="C20:O20" si="17">C60+C100+C140+C180+C220</f>
        <v>8593816.2932757027</v>
      </c>
      <c r="D20" s="10">
        <f t="shared" si="17"/>
        <v>2333379.4391907607</v>
      </c>
      <c r="E20" s="10">
        <f t="shared" si="17"/>
        <v>995136.49969243398</v>
      </c>
      <c r="F20" s="10">
        <f t="shared" si="17"/>
        <v>35500.917376186138</v>
      </c>
      <c r="G20" s="10">
        <f t="shared" si="17"/>
        <v>653793.14389933902</v>
      </c>
      <c r="H20" s="10">
        <f t="shared" si="17"/>
        <v>168556.49149882412</v>
      </c>
      <c r="I20" s="10">
        <f t="shared" si="17"/>
        <v>90952.781429621944</v>
      </c>
      <c r="J20" s="10">
        <f t="shared" si="17"/>
        <v>13187.377515776623</v>
      </c>
      <c r="K20" s="10">
        <f t="shared" si="17"/>
        <v>0</v>
      </c>
      <c r="L20" s="10">
        <f t="shared" si="17"/>
        <v>25193.949885536724</v>
      </c>
      <c r="M20" s="10">
        <f t="shared" si="17"/>
        <v>184.67966466858536</v>
      </c>
      <c r="N20" s="10">
        <f t="shared" si="17"/>
        <v>1323248.8313707761</v>
      </c>
      <c r="O20" s="10">
        <f t="shared" si="17"/>
        <v>14232950.404799629</v>
      </c>
      <c r="Q20" s="106">
        <f t="shared" si="3"/>
        <v>22110246.198705506</v>
      </c>
      <c r="R20" s="102">
        <f t="shared" si="9"/>
        <v>4.823186872117291E-2</v>
      </c>
      <c r="U20" s="72"/>
    </row>
    <row r="21" spans="2:21">
      <c r="B21" s="3">
        <v>16</v>
      </c>
      <c r="C21" s="10">
        <f t="shared" ref="C21:O21" si="18">C61+C101+C141+C181+C221</f>
        <v>9016259.402309116</v>
      </c>
      <c r="D21" s="10">
        <f t="shared" si="18"/>
        <v>2447183.508038864</v>
      </c>
      <c r="E21" s="10">
        <f t="shared" si="18"/>
        <v>1038382.8991731725</v>
      </c>
      <c r="F21" s="10">
        <f t="shared" si="18"/>
        <v>37035.799542594235</v>
      </c>
      <c r="G21" s="10">
        <f t="shared" si="18"/>
        <v>681710.84159936209</v>
      </c>
      <c r="H21" s="10">
        <f t="shared" si="18"/>
        <v>175761.47297939265</v>
      </c>
      <c r="I21" s="10">
        <f t="shared" si="18"/>
        <v>95058.994128794933</v>
      </c>
      <c r="J21" s="10">
        <f t="shared" si="18"/>
        <v>13840.61921649408</v>
      </c>
      <c r="K21" s="10">
        <f t="shared" si="18"/>
        <v>0</v>
      </c>
      <c r="L21" s="10">
        <f t="shared" si="18"/>
        <v>26432.399737764285</v>
      </c>
      <c r="M21" s="10">
        <f t="shared" si="18"/>
        <v>193.75789592876367</v>
      </c>
      <c r="N21" s="10">
        <f t="shared" si="18"/>
        <v>1388295.2939983853</v>
      </c>
      <c r="O21" s="10">
        <f t="shared" si="18"/>
        <v>14920154.98861987</v>
      </c>
      <c r="Q21" s="106">
        <f t="shared" si="3"/>
        <v>23147363.03498112</v>
      </c>
      <c r="R21" s="102">
        <f t="shared" si="9"/>
        <v>4.6906616369397858E-2</v>
      </c>
      <c r="U21" s="72"/>
    </row>
    <row r="22" spans="2:21">
      <c r="B22" s="3">
        <v>17</v>
      </c>
      <c r="C22" s="10">
        <f t="shared" ref="C22:O22" si="19">C62+C102+C142+C182+C222</f>
        <v>9441474.8047557399</v>
      </c>
      <c r="D22" s="10">
        <f t="shared" si="19"/>
        <v>2562168.3186726528</v>
      </c>
      <c r="E22" s="10">
        <f t="shared" si="19"/>
        <v>1083104.2468960267</v>
      </c>
      <c r="F22" s="10">
        <f t="shared" si="19"/>
        <v>38623.418705026445</v>
      </c>
      <c r="G22" s="10">
        <f t="shared" si="19"/>
        <v>710615.01904521638</v>
      </c>
      <c r="H22" s="10">
        <f t="shared" si="19"/>
        <v>183220.70249262609</v>
      </c>
      <c r="I22" s="10">
        <f t="shared" si="19"/>
        <v>99300.063329730459</v>
      </c>
      <c r="J22" s="10">
        <f t="shared" si="19"/>
        <v>14512.795160986636</v>
      </c>
      <c r="K22" s="10">
        <f t="shared" si="19"/>
        <v>0</v>
      </c>
      <c r="L22" s="10">
        <f t="shared" si="19"/>
        <v>27678.97694795912</v>
      </c>
      <c r="M22" s="10">
        <f t="shared" si="19"/>
        <v>202.89570330744885</v>
      </c>
      <c r="N22" s="10">
        <f t="shared" si="19"/>
        <v>1453768.625655313</v>
      </c>
      <c r="O22" s="10">
        <f t="shared" si="19"/>
        <v>15614669.867364585</v>
      </c>
      <c r="Q22" s="106">
        <f t="shared" si="3"/>
        <v>24202028.542043287</v>
      </c>
      <c r="R22" s="102">
        <f t="shared" si="9"/>
        <v>4.5563095263521758E-2</v>
      </c>
      <c r="U22" s="72"/>
    </row>
    <row r="23" spans="2:21">
      <c r="B23" s="3">
        <v>18</v>
      </c>
      <c r="C23" s="10">
        <f t="shared" ref="C23:O23" si="20">C63+C103+C143+C183+C223</f>
        <v>9869248.0362208467</v>
      </c>
      <c r="D23" s="10">
        <f t="shared" si="20"/>
        <v>2678280.5440756921</v>
      </c>
      <c r="E23" s="10">
        <f t="shared" si="20"/>
        <v>1129284.6316892589</v>
      </c>
      <c r="F23" s="10">
        <f t="shared" si="20"/>
        <v>40263.198486281413</v>
      </c>
      <c r="G23" s="10">
        <f t="shared" si="20"/>
        <v>740494.81746427692</v>
      </c>
      <c r="H23" s="10">
        <f t="shared" si="20"/>
        <v>190931.38919248144</v>
      </c>
      <c r="I23" s="10">
        <f t="shared" si="20"/>
        <v>103674.73848243846</v>
      </c>
      <c r="J23" s="10">
        <f t="shared" si="20"/>
        <v>15203.791701760181</v>
      </c>
      <c r="K23" s="10">
        <f t="shared" si="20"/>
        <v>0</v>
      </c>
      <c r="L23" s="10">
        <f t="shared" si="20"/>
        <v>28933.052784364743</v>
      </c>
      <c r="M23" s="10">
        <f t="shared" si="20"/>
        <v>212.08847800092096</v>
      </c>
      <c r="N23" s="10">
        <f t="shared" si="20"/>
        <v>1519635.8037878983</v>
      </c>
      <c r="O23" s="10">
        <f t="shared" si="20"/>
        <v>16316162.0923633</v>
      </c>
      <c r="Q23" s="106">
        <f t="shared" si="3"/>
        <v>25273773.396879055</v>
      </c>
      <c r="R23" s="102">
        <f t="shared" si="9"/>
        <v>4.4283265469832633E-2</v>
      </c>
      <c r="U23" s="72"/>
    </row>
    <row r="24" spans="2:21">
      <c r="B24" s="3">
        <v>19</v>
      </c>
      <c r="C24" s="10">
        <f t="shared" ref="C24:O24" si="21">C64+C104+C144+C184+C224</f>
        <v>10299493.279843669</v>
      </c>
      <c r="D24" s="10">
        <f t="shared" si="21"/>
        <v>2795503.4124268838</v>
      </c>
      <c r="E24" s="10">
        <f t="shared" si="21"/>
        <v>1176926.8362935432</v>
      </c>
      <c r="F24" s="10">
        <f t="shared" si="21"/>
        <v>41955.2284804386</v>
      </c>
      <c r="G24" s="10">
        <f t="shared" si="21"/>
        <v>771351.64377759211</v>
      </c>
      <c r="H24" s="10">
        <f t="shared" si="21"/>
        <v>198893.90549331819</v>
      </c>
      <c r="I24" s="10">
        <f t="shared" si="21"/>
        <v>108183.50540392619</v>
      </c>
      <c r="J24" s="10">
        <f t="shared" si="21"/>
        <v>15913.754760575559</v>
      </c>
      <c r="K24" s="10">
        <f t="shared" si="21"/>
        <v>0</v>
      </c>
      <c r="L24" s="10">
        <f t="shared" si="21"/>
        <v>30194.37566309622</v>
      </c>
      <c r="M24" s="10">
        <f t="shared" si="21"/>
        <v>221.33437581929635</v>
      </c>
      <c r="N24" s="10">
        <f t="shared" si="21"/>
        <v>1585883.6145855533</v>
      </c>
      <c r="O24" s="10">
        <f t="shared" si="21"/>
        <v>17024520.891104415</v>
      </c>
      <c r="Q24" s="106">
        <f t="shared" si="3"/>
        <v>26362493.79479884</v>
      </c>
      <c r="R24" s="102">
        <f t="shared" si="9"/>
        <v>4.3077081558950292E-2</v>
      </c>
      <c r="U24" s="72"/>
    </row>
    <row r="25" spans="2:21">
      <c r="B25" s="3">
        <v>20</v>
      </c>
      <c r="C25" s="10">
        <f t="shared" ref="C25:O25" si="22">C65+C105+C145+C185+C225</f>
        <v>10731810.366719013</v>
      </c>
      <c r="D25" s="10">
        <f t="shared" si="22"/>
        <v>2914316.816151524</v>
      </c>
      <c r="E25" s="10">
        <f t="shared" si="22"/>
        <v>1227910.7135177823</v>
      </c>
      <c r="F25" s="10">
        <f t="shared" si="22"/>
        <v>43767.534335636039</v>
      </c>
      <c r="G25" s="10">
        <f t="shared" si="22"/>
        <v>804492.35085627285</v>
      </c>
      <c r="H25" s="10">
        <f t="shared" si="22"/>
        <v>207444.30790990544</v>
      </c>
      <c r="I25" s="10">
        <f t="shared" si="22"/>
        <v>112982.20469520343</v>
      </c>
      <c r="J25" s="10">
        <f t="shared" si="22"/>
        <v>16658.524305752559</v>
      </c>
      <c r="K25" s="10">
        <f t="shared" si="22"/>
        <v>0</v>
      </c>
      <c r="L25" s="10">
        <f t="shared" si="22"/>
        <v>31461.77243418161</v>
      </c>
      <c r="M25" s="10">
        <f t="shared" si="22"/>
        <v>230.62479720020372</v>
      </c>
      <c r="N25" s="10">
        <f t="shared" si="22"/>
        <v>1652450.4412975735</v>
      </c>
      <c r="O25" s="10">
        <f t="shared" si="22"/>
        <v>17743525.657020047</v>
      </c>
      <c r="Q25" s="106">
        <f t="shared" si="3"/>
        <v>27484396.634865653</v>
      </c>
      <c r="R25" s="102">
        <f t="shared" si="9"/>
        <v>4.2556779673406986E-2</v>
      </c>
      <c r="U25" s="72"/>
    </row>
    <row r="26" spans="2:21">
      <c r="B26" s="3">
        <v>21</v>
      </c>
      <c r="C26" s="10">
        <f t="shared" ref="C26:O26" si="23">C66+C106+C146+C186+C226</f>
        <v>11165404.479163466</v>
      </c>
      <c r="D26" s="10">
        <f t="shared" si="23"/>
        <v>3035086.5368972495</v>
      </c>
      <c r="E26" s="10">
        <f t="shared" si="23"/>
        <v>1284050.9468625202</v>
      </c>
      <c r="F26" s="10">
        <f t="shared" si="23"/>
        <v>45765.813202074969</v>
      </c>
      <c r="G26" s="10">
        <f t="shared" si="23"/>
        <v>841180.59157227876</v>
      </c>
      <c r="H26" s="10">
        <f t="shared" si="23"/>
        <v>216907.51831770016</v>
      </c>
      <c r="I26" s="10">
        <f t="shared" si="23"/>
        <v>118220.75367052981</v>
      </c>
      <c r="J26" s="10">
        <f t="shared" si="23"/>
        <v>17453.103988048162</v>
      </c>
      <c r="K26" s="10">
        <f t="shared" si="23"/>
        <v>0</v>
      </c>
      <c r="L26" s="10">
        <f t="shared" si="23"/>
        <v>32732.9129806856</v>
      </c>
      <c r="M26" s="10">
        <f t="shared" si="23"/>
        <v>239.94266164549916</v>
      </c>
      <c r="N26" s="10">
        <f t="shared" si="23"/>
        <v>1719213.9003943552</v>
      </c>
      <c r="O26" s="10">
        <f t="shared" si="23"/>
        <v>18476256.499710552</v>
      </c>
      <c r="Q26" s="106">
        <f t="shared" si="3"/>
        <v>28654498.026711009</v>
      </c>
      <c r="R26" s="102">
        <f t="shared" si="9"/>
        <v>4.2573297401806931E-2</v>
      </c>
      <c r="U26" s="72"/>
    </row>
    <row r="27" spans="2:21">
      <c r="B27" s="3">
        <v>22</v>
      </c>
      <c r="C27" s="10">
        <f t="shared" ref="C27:O27" si="24">C67+C107+C147+C187+C227</f>
        <v>11599374.764510155</v>
      </c>
      <c r="D27" s="10">
        <f t="shared" si="24"/>
        <v>3156323.2157035712</v>
      </c>
      <c r="E27" s="10">
        <f t="shared" si="24"/>
        <v>1341152.9715245734</v>
      </c>
      <c r="F27" s="10">
        <f t="shared" si="24"/>
        <v>47798.351104168381</v>
      </c>
      <c r="G27" s="10">
        <f t="shared" si="24"/>
        <v>878506.3966661786</v>
      </c>
      <c r="H27" s="10">
        <f t="shared" si="24"/>
        <v>226535.1793979386</v>
      </c>
      <c r="I27" s="10">
        <f t="shared" si="24"/>
        <v>123550.3375974739</v>
      </c>
      <c r="J27" s="10">
        <f t="shared" si="24"/>
        <v>18261.491792263576</v>
      </c>
      <c r="K27" s="10">
        <f t="shared" si="24"/>
        <v>0</v>
      </c>
      <c r="L27" s="10">
        <f t="shared" si="24"/>
        <v>34005.156329591191</v>
      </c>
      <c r="M27" s="10">
        <f t="shared" si="24"/>
        <v>249.26860998310408</v>
      </c>
      <c r="N27" s="10">
        <f t="shared" si="24"/>
        <v>1786035.2814127016</v>
      </c>
      <c r="O27" s="10">
        <f t="shared" si="24"/>
        <v>19211792.414648596</v>
      </c>
      <c r="Q27" s="106">
        <f t="shared" si="3"/>
        <v>29833884.784567349</v>
      </c>
      <c r="R27" s="102">
        <f t="shared" si="9"/>
        <v>4.1158869953225041E-2</v>
      </c>
      <c r="U27" s="72"/>
    </row>
    <row r="28" spans="2:21">
      <c r="B28" s="3">
        <v>23</v>
      </c>
      <c r="C28" s="10">
        <f t="shared" ref="C28:O28" si="25">C68+C108+C148+C188+C228</f>
        <v>12032909.100459559</v>
      </c>
      <c r="D28" s="10">
        <f t="shared" si="25"/>
        <v>3277813.2740156041</v>
      </c>
      <c r="E28" s="10">
        <f t="shared" si="25"/>
        <v>1399143.4609371526</v>
      </c>
      <c r="F28" s="10">
        <f t="shared" si="25"/>
        <v>49862.538884133617</v>
      </c>
      <c r="G28" s="10">
        <f t="shared" si="25"/>
        <v>916422.16094512772</v>
      </c>
      <c r="H28" s="10">
        <f t="shared" si="25"/>
        <v>236315.01206752489</v>
      </c>
      <c r="I28" s="10">
        <f t="shared" si="25"/>
        <v>128964.15914453848</v>
      </c>
      <c r="J28" s="10">
        <f t="shared" si="25"/>
        <v>19082.656703603105</v>
      </c>
      <c r="K28" s="10">
        <f t="shared" si="25"/>
        <v>0</v>
      </c>
      <c r="L28" s="10">
        <f t="shared" si="25"/>
        <v>35276.121633110088</v>
      </c>
      <c r="M28" s="10">
        <f t="shared" si="25"/>
        <v>258.58518984158923</v>
      </c>
      <c r="N28" s="10">
        <f t="shared" si="25"/>
        <v>1852789.5363125918</v>
      </c>
      <c r="O28" s="10">
        <f t="shared" si="25"/>
        <v>19948836.606292788</v>
      </c>
      <c r="Q28" s="106">
        <f t="shared" si="3"/>
        <v>31020653.552595787</v>
      </c>
      <c r="R28" s="102">
        <f t="shared" si="9"/>
        <v>3.97792234098302E-2</v>
      </c>
      <c r="U28" s="72"/>
    </row>
    <row r="29" spans="2:21">
      <c r="B29" s="3">
        <v>24</v>
      </c>
      <c r="C29" s="10">
        <f t="shared" ref="C29:O29" si="26">C69+C109+C149+C189+C229</f>
        <v>12465084.384330727</v>
      </c>
      <c r="D29" s="10">
        <f t="shared" si="26"/>
        <v>3399311.2030560011</v>
      </c>
      <c r="E29" s="10">
        <f t="shared" si="26"/>
        <v>1457932.1510630674</v>
      </c>
      <c r="F29" s="10">
        <f t="shared" si="26"/>
        <v>51955.16443551988</v>
      </c>
      <c r="G29" s="10">
        <f t="shared" si="26"/>
        <v>954869.18501960323</v>
      </c>
      <c r="H29" s="10">
        <f t="shared" si="26"/>
        <v>246231.87565296204</v>
      </c>
      <c r="I29" s="10">
        <f t="shared" si="26"/>
        <v>134453.83688975198</v>
      </c>
      <c r="J29" s="10">
        <f t="shared" si="26"/>
        <v>19915.327433463986</v>
      </c>
      <c r="K29" s="10">
        <f t="shared" si="26"/>
        <v>0</v>
      </c>
      <c r="L29" s="10">
        <f t="shared" si="26"/>
        <v>36543.102689260573</v>
      </c>
      <c r="M29" s="10">
        <f t="shared" si="26"/>
        <v>267.87256389982088</v>
      </c>
      <c r="N29" s="10">
        <f t="shared" si="26"/>
        <v>1919334.5286435683</v>
      </c>
      <c r="O29" s="10">
        <f t="shared" si="26"/>
        <v>20685898.631777827</v>
      </c>
      <c r="Q29" s="106">
        <f t="shared" si="3"/>
        <v>32212578.221569251</v>
      </c>
      <c r="R29" s="102">
        <f t="shared" si="9"/>
        <v>3.8423583402346528E-2</v>
      </c>
      <c r="U29" s="72"/>
    </row>
    <row r="30" spans="2:21">
      <c r="B30" s="3">
        <v>25</v>
      </c>
      <c r="C30" s="10">
        <f t="shared" ref="C30:O30" si="27">C70+C110+C150+C190+C230</f>
        <v>12894913.146882027</v>
      </c>
      <c r="D30" s="10">
        <f t="shared" si="27"/>
        <v>3520552.2339244899</v>
      </c>
      <c r="E30" s="10">
        <f t="shared" si="27"/>
        <v>1517417.0858637523</v>
      </c>
      <c r="F30" s="10">
        <f t="shared" si="27"/>
        <v>54072.599391307464</v>
      </c>
      <c r="G30" s="10">
        <f t="shared" si="27"/>
        <v>993781.09546694765</v>
      </c>
      <c r="H30" s="10">
        <f t="shared" si="27"/>
        <v>256268.65007294223</v>
      </c>
      <c r="I30" s="10">
        <f t="shared" si="27"/>
        <v>140009.89367044679</v>
      </c>
      <c r="J30" s="10">
        <f t="shared" si="27"/>
        <v>20758.066492011349</v>
      </c>
      <c r="K30" s="10">
        <f t="shared" si="27"/>
        <v>0</v>
      </c>
      <c r="L30" s="10">
        <f t="shared" si="27"/>
        <v>37803.204596669639</v>
      </c>
      <c r="M30" s="10">
        <f t="shared" si="27"/>
        <v>277.10951161011803</v>
      </c>
      <c r="N30" s="10">
        <f t="shared" si="27"/>
        <v>1985518.2109943994</v>
      </c>
      <c r="O30" s="10">
        <f t="shared" si="27"/>
        <v>21421371.296866599</v>
      </c>
      <c r="Q30" s="106">
        <f t="shared" si="3"/>
        <v>33407228.566704523</v>
      </c>
      <c r="R30" s="102">
        <f t="shared" si="9"/>
        <v>3.7086455387645545E-2</v>
      </c>
      <c r="U30" s="72"/>
    </row>
    <row r="31" spans="2:21">
      <c r="B31" s="3">
        <v>26</v>
      </c>
      <c r="C31" s="10">
        <f t="shared" ref="C31:O31" si="28">C71+C111+C151+C191+C231</f>
        <v>13321283.509298479</v>
      </c>
      <c r="D31" s="10">
        <f t="shared" si="28"/>
        <v>3641235.0212090337</v>
      </c>
      <c r="E31" s="10">
        <f t="shared" si="28"/>
        <v>1577475.3493978903</v>
      </c>
      <c r="F31" s="10">
        <f t="shared" si="28"/>
        <v>56210.469198062521</v>
      </c>
      <c r="G31" s="10">
        <f t="shared" si="28"/>
        <v>1033077.7733972399</v>
      </c>
      <c r="H31" s="10">
        <f t="shared" si="28"/>
        <v>266404.66979817976</v>
      </c>
      <c r="I31" s="10">
        <f t="shared" si="28"/>
        <v>145620.88967047178</v>
      </c>
      <c r="J31" s="10">
        <f t="shared" si="28"/>
        <v>21609.138695413625</v>
      </c>
      <c r="K31" s="10">
        <f t="shared" si="28"/>
        <v>0</v>
      </c>
      <c r="L31" s="10">
        <f t="shared" si="28"/>
        <v>39053.167730254805</v>
      </c>
      <c r="M31" s="10">
        <f t="shared" si="28"/>
        <v>286.2721388840227</v>
      </c>
      <c r="N31" s="10">
        <f t="shared" si="28"/>
        <v>2051169.3797586379</v>
      </c>
      <c r="O31" s="10">
        <f t="shared" si="28"/>
        <v>22153425.640292551</v>
      </c>
      <c r="Q31" s="106">
        <f t="shared" si="3"/>
        <v>34601794.685486823</v>
      </c>
      <c r="R31" s="102">
        <f t="shared" si="9"/>
        <v>3.5757713825230963E-2</v>
      </c>
      <c r="U31" s="72"/>
    </row>
    <row r="32" spans="2:21">
      <c r="B32" s="3">
        <v>27</v>
      </c>
      <c r="C32" s="10">
        <f t="shared" ref="C32:O32" si="29">C72+C112+C152+C192+C232</f>
        <v>13742937.274392679</v>
      </c>
      <c r="D32" s="10">
        <f t="shared" si="29"/>
        <v>3761014.8767801677</v>
      </c>
      <c r="E32" s="10">
        <f t="shared" si="29"/>
        <v>1637958.5553849596</v>
      </c>
      <c r="F32" s="10">
        <f t="shared" si="29"/>
        <v>58363.492524424626</v>
      </c>
      <c r="G32" s="10">
        <f t="shared" si="29"/>
        <v>1072662.3902941761</v>
      </c>
      <c r="H32" s="10">
        <f t="shared" si="29"/>
        <v>276614.95928868197</v>
      </c>
      <c r="I32" s="10">
        <f t="shared" si="29"/>
        <v>151272.99918123562</v>
      </c>
      <c r="J32" s="10">
        <f t="shared" si="29"/>
        <v>22466.446969234414</v>
      </c>
      <c r="K32" s="10">
        <f t="shared" si="29"/>
        <v>0</v>
      </c>
      <c r="L32" s="10">
        <f t="shared" si="29"/>
        <v>40289.303512578117</v>
      </c>
      <c r="M32" s="10">
        <f t="shared" si="29"/>
        <v>295.33340727589814</v>
      </c>
      <c r="N32" s="10">
        <f t="shared" si="29"/>
        <v>2116094.3016865784</v>
      </c>
      <c r="O32" s="10">
        <f t="shared" si="29"/>
        <v>22879969.933421988</v>
      </c>
      <c r="Q32" s="106">
        <f t="shared" si="3"/>
        <v>35793012.714357801</v>
      </c>
      <c r="R32" s="102">
        <f t="shared" si="9"/>
        <v>3.4426481045233714E-2</v>
      </c>
      <c r="U32" s="72"/>
    </row>
    <row r="33" spans="2:21">
      <c r="B33" s="3">
        <v>28</v>
      </c>
      <c r="C33" s="10">
        <f t="shared" ref="C33:O33" si="30">C73+C113+C153+C193+C233</f>
        <v>14158528.175949097</v>
      </c>
      <c r="D33" s="10">
        <f t="shared" si="30"/>
        <v>3879519.4988797437</v>
      </c>
      <c r="E33" s="10">
        <f t="shared" si="30"/>
        <v>1698699.1406854461</v>
      </c>
      <c r="F33" s="10">
        <f t="shared" si="30"/>
        <v>60525.705240182368</v>
      </c>
      <c r="G33" s="10">
        <f t="shared" si="30"/>
        <v>1112425.5085338422</v>
      </c>
      <c r="H33" s="10">
        <f t="shared" si="30"/>
        <v>286871.29066430498</v>
      </c>
      <c r="I33" s="10">
        <f t="shared" si="30"/>
        <v>156950.59609635046</v>
      </c>
      <c r="J33" s="10">
        <f t="shared" si="30"/>
        <v>23327.621155877074</v>
      </c>
      <c r="K33" s="10">
        <f t="shared" si="30"/>
        <v>0</v>
      </c>
      <c r="L33" s="10">
        <f t="shared" si="30"/>
        <v>41507.665179779447</v>
      </c>
      <c r="M33" s="10">
        <f t="shared" si="30"/>
        <v>304.2643857515269</v>
      </c>
      <c r="N33" s="10">
        <f t="shared" si="30"/>
        <v>2180085.682936274</v>
      </c>
      <c r="O33" s="10">
        <f t="shared" si="30"/>
        <v>23598745.149706651</v>
      </c>
      <c r="Q33" s="106">
        <f t="shared" si="3"/>
        <v>36977310.713311471</v>
      </c>
      <c r="R33" s="102">
        <f t="shared" si="9"/>
        <v>3.308740754528916E-2</v>
      </c>
      <c r="U33" s="72"/>
    </row>
    <row r="34" spans="2:21">
      <c r="B34" s="3">
        <v>29</v>
      </c>
      <c r="C34" s="10">
        <f t="shared" ref="C34:O34" si="31">C74+C114+C154+C194+C234</f>
        <v>14566528.977405999</v>
      </c>
      <c r="D34" s="10">
        <f t="shared" si="31"/>
        <v>3996321.8594491817</v>
      </c>
      <c r="E34" s="10">
        <f t="shared" si="31"/>
        <v>1759495.2189442148</v>
      </c>
      <c r="F34" s="10">
        <f t="shared" si="31"/>
        <v>62689.921206425024</v>
      </c>
      <c r="G34" s="10">
        <f t="shared" si="31"/>
        <v>1152235.152267613</v>
      </c>
      <c r="H34" s="10">
        <f t="shared" si="31"/>
        <v>297139.62263007468</v>
      </c>
      <c r="I34" s="10">
        <f t="shared" si="31"/>
        <v>162634.83617763268</v>
      </c>
      <c r="J34" s="10">
        <f t="shared" si="31"/>
        <v>24189.802973619036</v>
      </c>
      <c r="K34" s="10">
        <f t="shared" si="31"/>
        <v>0</v>
      </c>
      <c r="L34" s="10">
        <f t="shared" si="31"/>
        <v>42703.775428634428</v>
      </c>
      <c r="M34" s="10">
        <f t="shared" si="31"/>
        <v>313.03225425443316</v>
      </c>
      <c r="N34" s="10">
        <f t="shared" si="31"/>
        <v>2242908.3644204736</v>
      </c>
      <c r="O34" s="10">
        <f t="shared" si="31"/>
        <v>24307160.563158121</v>
      </c>
      <c r="Q34" s="106">
        <f t="shared" si="3"/>
        <v>38150529.721975289</v>
      </c>
      <c r="R34" s="102">
        <f t="shared" si="9"/>
        <v>3.1728078273725702E-2</v>
      </c>
      <c r="U34" s="72"/>
    </row>
    <row r="35" spans="2:21">
      <c r="B35" s="3">
        <v>30</v>
      </c>
      <c r="C35" s="10">
        <f t="shared" ref="C35:O35" si="32">C75+C115+C155+C195+C235</f>
        <v>14965377.348307204</v>
      </c>
      <c r="D35" s="10">
        <f t="shared" si="32"/>
        <v>4110980.9641947341</v>
      </c>
      <c r="E35" s="10">
        <f t="shared" si="32"/>
        <v>1820129.7929824963</v>
      </c>
      <c r="F35" s="10">
        <f t="shared" si="32"/>
        <v>64848.416138194487</v>
      </c>
      <c r="G35" s="10">
        <f t="shared" si="32"/>
        <v>1191949.3661350892</v>
      </c>
      <c r="H35" s="10">
        <f t="shared" si="32"/>
        <v>307383.3398177491</v>
      </c>
      <c r="I35" s="10">
        <f t="shared" si="32"/>
        <v>168305.45025727144</v>
      </c>
      <c r="J35" s="10">
        <f t="shared" si="32"/>
        <v>25049.918008343826</v>
      </c>
      <c r="K35" s="10">
        <f t="shared" si="32"/>
        <v>0</v>
      </c>
      <c r="L35" s="10">
        <f t="shared" si="32"/>
        <v>43873.054073358959</v>
      </c>
      <c r="M35" s="10">
        <f t="shared" si="32"/>
        <v>321.60343856625997</v>
      </c>
      <c r="N35" s="10">
        <f t="shared" si="32"/>
        <v>2304321.7834043219</v>
      </c>
      <c r="O35" s="10">
        <f t="shared" si="32"/>
        <v>25002541.036757328</v>
      </c>
      <c r="Q35" s="106">
        <f t="shared" si="3"/>
        <v>39308320.365335859</v>
      </c>
      <c r="R35" s="102">
        <f t="shared" si="9"/>
        <v>3.0347957205261622E-2</v>
      </c>
      <c r="U35" s="72"/>
    </row>
    <row r="36" spans="2:21">
      <c r="B36" s="3">
        <v>31</v>
      </c>
      <c r="C36" s="10">
        <f t="shared" ref="C36:O36" si="33">C76+C116+C156+C196+C236</f>
        <v>15353511.031863285</v>
      </c>
      <c r="D36" s="10">
        <f t="shared" si="33"/>
        <v>4223051.3858071696</v>
      </c>
      <c r="E36" s="10">
        <f t="shared" si="33"/>
        <v>1880374.6474925447</v>
      </c>
      <c r="F36" s="10">
        <f t="shared" si="33"/>
        <v>66993.066144856974</v>
      </c>
      <c r="G36" s="10">
        <f t="shared" si="33"/>
        <v>1231418.7526524509</v>
      </c>
      <c r="H36" s="10">
        <f t="shared" si="33"/>
        <v>317563.90726909105</v>
      </c>
      <c r="I36" s="10">
        <f t="shared" si="33"/>
        <v>173941.10654010548</v>
      </c>
      <c r="J36" s="10">
        <f t="shared" si="33"/>
        <v>25904.730667313481</v>
      </c>
      <c r="K36" s="10">
        <f t="shared" si="33"/>
        <v>0</v>
      </c>
      <c r="L36" s="10">
        <f t="shared" si="33"/>
        <v>45010.921144133092</v>
      </c>
      <c r="M36" s="10">
        <f t="shared" si="33"/>
        <v>329.94436605173661</v>
      </c>
      <c r="N36" s="10">
        <f t="shared" si="33"/>
        <v>2364085.388495937</v>
      </c>
      <c r="O36" s="10">
        <f t="shared" si="33"/>
        <v>25682184.882442936</v>
      </c>
      <c r="Q36" s="106">
        <f t="shared" si="3"/>
        <v>40446231.773227006</v>
      </c>
      <c r="R36" s="102">
        <f t="shared" si="9"/>
        <v>2.894835997354428E-2</v>
      </c>
      <c r="U36" s="72"/>
    </row>
    <row r="37" spans="2:21">
      <c r="B37" s="3">
        <v>32</v>
      </c>
      <c r="C37" s="10">
        <f t="shared" ref="C37:N37" si="34">C77+C117+C157+C197+C237</f>
        <v>15729324.864426598</v>
      </c>
      <c r="D37" s="10">
        <f t="shared" si="34"/>
        <v>4332070.4762163367</v>
      </c>
      <c r="E37" s="10">
        <f t="shared" si="34"/>
        <v>1939982.726109297</v>
      </c>
      <c r="F37" s="10">
        <f t="shared" si="34"/>
        <v>69115.076340891334</v>
      </c>
      <c r="G37" s="10">
        <f t="shared" si="34"/>
        <v>1270481.4702098996</v>
      </c>
      <c r="H37" s="10">
        <f t="shared" si="34"/>
        <v>327639.58024037967</v>
      </c>
      <c r="I37" s="10">
        <f t="shared" si="34"/>
        <v>179518.69639016231</v>
      </c>
      <c r="J37" s="10">
        <f t="shared" si="34"/>
        <v>26750.735847737938</v>
      </c>
      <c r="K37" s="10">
        <f t="shared" si="34"/>
        <v>0</v>
      </c>
      <c r="L37" s="10">
        <f t="shared" si="34"/>
        <v>46112.670883803483</v>
      </c>
      <c r="M37" s="10">
        <f t="shared" si="34"/>
        <v>338.02054201443616</v>
      </c>
      <c r="N37" s="10">
        <f t="shared" si="34"/>
        <v>2421952.0216402239</v>
      </c>
      <c r="O37" s="10">
        <f>O77+O117+O157+O197+O237</f>
        <v>26343286.338847343</v>
      </c>
      <c r="Q37" s="106">
        <f t="shared" si="3"/>
        <v>41559576.952785395</v>
      </c>
      <c r="R37" s="102">
        <f t="shared" si="9"/>
        <v>2.752654897001694E-2</v>
      </c>
      <c r="U37" s="72"/>
    </row>
    <row r="38" spans="2:21">
      <c r="B38" s="3">
        <v>33</v>
      </c>
      <c r="C38" s="10">
        <f t="shared" ref="C38:O38" si="35">C78+C118+C158+C198+C238</f>
        <v>16091356.415974818</v>
      </c>
      <c r="D38" s="10">
        <f t="shared" si="35"/>
        <v>4437611.6624496076</v>
      </c>
      <c r="E38" s="10">
        <f t="shared" si="35"/>
        <v>1998716.1736957349</v>
      </c>
      <c r="F38" s="10">
        <f t="shared" si="35"/>
        <v>71205.979102768673</v>
      </c>
      <c r="G38" s="10">
        <f t="shared" si="35"/>
        <v>1308981.598595049</v>
      </c>
      <c r="H38" s="10">
        <f t="shared" si="35"/>
        <v>337570.14132822247</v>
      </c>
      <c r="I38" s="10">
        <f t="shared" si="35"/>
        <v>185015.95666118886</v>
      </c>
      <c r="J38" s="10">
        <f t="shared" si="35"/>
        <v>27584.556690154775</v>
      </c>
      <c r="K38" s="10">
        <f t="shared" si="35"/>
        <v>0</v>
      </c>
      <c r="L38" s="10">
        <f t="shared" si="35"/>
        <v>47174.015978395022</v>
      </c>
      <c r="M38" s="10">
        <f t="shared" si="35"/>
        <v>345.80053907949878</v>
      </c>
      <c r="N38" s="10">
        <f t="shared" si="35"/>
        <v>2477696.5024572471</v>
      </c>
      <c r="O38" s="10">
        <f t="shared" si="35"/>
        <v>26983258.803472269</v>
      </c>
      <c r="Q38" s="106">
        <f t="shared" si="3"/>
        <v>42643970.045740835</v>
      </c>
      <c r="R38" s="102">
        <f t="shared" si="9"/>
        <v>2.6092495941125282E-2</v>
      </c>
      <c r="U38" s="72"/>
    </row>
    <row r="39" spans="2:21">
      <c r="B39" s="3">
        <v>34</v>
      </c>
      <c r="C39" s="10">
        <f t="shared" ref="C39:O39" si="36">C79+C119+C159+C199+C239</f>
        <v>16438706.984289471</v>
      </c>
      <c r="D39" s="10">
        <f t="shared" si="36"/>
        <v>4539408.4721722668</v>
      </c>
      <c r="E39" s="10">
        <f t="shared" si="36"/>
        <v>2056417.9009730732</v>
      </c>
      <c r="F39" s="10">
        <f t="shared" si="36"/>
        <v>73260.181830386209</v>
      </c>
      <c r="G39" s="10">
        <f t="shared" si="36"/>
        <v>1346816.0757939524</v>
      </c>
      <c r="H39" s="10">
        <f t="shared" si="36"/>
        <v>347329.0071504786</v>
      </c>
      <c r="I39" s="10">
        <f t="shared" si="36"/>
        <v>190418.17159148553</v>
      </c>
      <c r="J39" s="10">
        <f t="shared" si="36"/>
        <v>28403.961117454281</v>
      </c>
      <c r="K39" s="10">
        <f t="shared" si="36"/>
        <v>0</v>
      </c>
      <c r="L39" s="10">
        <f t="shared" si="36"/>
        <v>48192.321759224826</v>
      </c>
      <c r="M39" s="10">
        <f t="shared" si="36"/>
        <v>353.26504428761996</v>
      </c>
      <c r="N39" s="10">
        <f t="shared" si="36"/>
        <v>2531180.4516030969</v>
      </c>
      <c r="O39" s="10">
        <f t="shared" si="36"/>
        <v>27600486.793325178</v>
      </c>
      <c r="Q39" s="106">
        <f t="shared" si="3"/>
        <v>43696616.909356385</v>
      </c>
      <c r="R39" s="102">
        <f t="shared" si="9"/>
        <v>2.4684541858707387E-2</v>
      </c>
      <c r="U39" s="72"/>
    </row>
    <row r="40" spans="2:21">
      <c r="B40" s="3">
        <v>35</v>
      </c>
      <c r="C40" s="10">
        <f t="shared" ref="C40:O40" si="37">C80+C120+C160+C200+C240</f>
        <v>16665235.379780555</v>
      </c>
      <c r="D40" s="10">
        <f t="shared" si="37"/>
        <v>4606046.1078886176</v>
      </c>
      <c r="E40" s="10">
        <f t="shared" si="37"/>
        <v>2094678.3512893098</v>
      </c>
      <c r="F40" s="10">
        <f t="shared" si="37"/>
        <v>74622.281183497689</v>
      </c>
      <c r="G40" s="10">
        <f t="shared" si="37"/>
        <v>1371907.9413463655</v>
      </c>
      <c r="H40" s="10">
        <f t="shared" si="37"/>
        <v>353801.0973519308</v>
      </c>
      <c r="I40" s="10">
        <f t="shared" si="37"/>
        <v>194000.92628381599</v>
      </c>
      <c r="J40" s="10">
        <f t="shared" si="37"/>
        <v>28947.391005880134</v>
      </c>
      <c r="K40" s="10">
        <f t="shared" si="37"/>
        <v>0</v>
      </c>
      <c r="L40" s="10">
        <f t="shared" si="37"/>
        <v>48856.420786815055</v>
      </c>
      <c r="M40" s="10">
        <f t="shared" si="37"/>
        <v>358.13310135208621</v>
      </c>
      <c r="N40" s="10">
        <f t="shared" si="37"/>
        <v>2566060.5821965821</v>
      </c>
      <c r="O40" s="10">
        <f t="shared" si="37"/>
        <v>28004514.612214722</v>
      </c>
      <c r="P40" s="179"/>
      <c r="Q40" s="107">
        <f t="shared" si="3"/>
        <v>44388814.865518093</v>
      </c>
      <c r="R40" s="103">
        <f t="shared" si="9"/>
        <v>1.5840996514617789E-2</v>
      </c>
      <c r="U40" s="72"/>
    </row>
    <row r="41" spans="2:21">
      <c r="B41" s="55" t="s">
        <v>4</v>
      </c>
      <c r="C41" s="56">
        <f t="shared" ref="C41:Q41" si="38">SUM(C6:C40)</f>
        <v>345452615.46036142</v>
      </c>
      <c r="D41" s="56">
        <f t="shared" si="38"/>
        <v>94795498.574012637</v>
      </c>
      <c r="E41" s="56">
        <f t="shared" si="38"/>
        <v>42087741.805355571</v>
      </c>
      <c r="F41" s="56">
        <f t="shared" si="38"/>
        <v>1501258.3140476272</v>
      </c>
      <c r="G41" s="56">
        <f t="shared" si="38"/>
        <v>27658065.329949997</v>
      </c>
      <c r="H41" s="56">
        <f t="shared" si="38"/>
        <v>7131368.583636567</v>
      </c>
      <c r="I41" s="56">
        <f t="shared" si="38"/>
        <v>3856169.6919982936</v>
      </c>
      <c r="J41" s="56">
        <f t="shared" si="38"/>
        <v>561338.93884602876</v>
      </c>
      <c r="K41" s="56">
        <f t="shared" si="38"/>
        <v>0</v>
      </c>
      <c r="L41" s="56">
        <f t="shared" si="38"/>
        <v>1007686.7814194076</v>
      </c>
      <c r="M41" s="56">
        <f t="shared" si="38"/>
        <v>7448.2902103234646</v>
      </c>
      <c r="N41" s="56">
        <f t="shared" si="38"/>
        <v>53197064.554354325</v>
      </c>
      <c r="O41" s="56">
        <f>SUM(O6:O40)</f>
        <v>577256256.32419217</v>
      </c>
      <c r="Q41" s="56">
        <f t="shared" si="38"/>
        <v>907999267.81669641</v>
      </c>
      <c r="R41" s="104">
        <f>Q41/1000*4.5</f>
        <v>4085996.7051751339</v>
      </c>
      <c r="U41" s="72"/>
    </row>
    <row r="42" spans="2:21">
      <c r="B42" s="6"/>
      <c r="C42" s="73"/>
      <c r="D42" s="73"/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2"/>
      <c r="Q42" s="72"/>
      <c r="R42" s="2">
        <f>Q42/1000*4.5</f>
        <v>0</v>
      </c>
    </row>
    <row r="43" spans="2:21">
      <c r="B43" s="893" t="s">
        <v>235</v>
      </c>
      <c r="C43" s="893"/>
      <c r="D43" s="893"/>
      <c r="E43" s="893"/>
      <c r="F43" s="893"/>
      <c r="G43" s="893"/>
      <c r="H43" s="893"/>
      <c r="I43" s="893"/>
      <c r="J43" s="893"/>
      <c r="K43" s="893"/>
      <c r="L43" s="893"/>
      <c r="M43" s="893"/>
      <c r="N43" s="893"/>
      <c r="O43" s="893"/>
    </row>
    <row r="44" spans="2:21">
      <c r="B44" s="893" t="s">
        <v>31</v>
      </c>
      <c r="C44" s="21" t="s">
        <v>32</v>
      </c>
      <c r="D44" s="21" t="s">
        <v>33</v>
      </c>
      <c r="E44" s="21" t="s">
        <v>34</v>
      </c>
      <c r="F44" s="21" t="s">
        <v>35</v>
      </c>
      <c r="G44" s="21" t="s">
        <v>36</v>
      </c>
      <c r="H44" s="21" t="s">
        <v>37</v>
      </c>
      <c r="I44" s="21" t="s">
        <v>38</v>
      </c>
      <c r="J44" s="21" t="s">
        <v>39</v>
      </c>
      <c r="K44" s="21" t="s">
        <v>40</v>
      </c>
      <c r="L44" s="21" t="s">
        <v>240</v>
      </c>
      <c r="M44" s="21" t="s">
        <v>241</v>
      </c>
      <c r="N44" s="21" t="s">
        <v>242</v>
      </c>
      <c r="O44" s="894" t="s">
        <v>42</v>
      </c>
      <c r="Q44" s="896" t="s">
        <v>325</v>
      </c>
    </row>
    <row r="45" spans="2:21">
      <c r="B45" s="893"/>
      <c r="C45" s="71">
        <v>1</v>
      </c>
      <c r="D45" s="71">
        <v>2</v>
      </c>
      <c r="E45" s="71">
        <v>3</v>
      </c>
      <c r="F45" s="71">
        <v>4</v>
      </c>
      <c r="G45" s="71">
        <v>5</v>
      </c>
      <c r="H45" s="71">
        <v>6</v>
      </c>
      <c r="I45" s="71">
        <v>7</v>
      </c>
      <c r="J45" s="71">
        <v>8</v>
      </c>
      <c r="K45" s="71">
        <v>9</v>
      </c>
      <c r="L45" s="71">
        <v>1.5</v>
      </c>
      <c r="M45" s="71">
        <v>2</v>
      </c>
      <c r="N45" s="71">
        <v>0.5</v>
      </c>
      <c r="O45" s="895"/>
      <c r="Q45" s="897" t="s">
        <v>325</v>
      </c>
    </row>
    <row r="46" spans="2:21">
      <c r="B46" s="3">
        <v>1</v>
      </c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10">
        <f t="shared" ref="O46:O80" si="39">SUM(C46:N46)</f>
        <v>0</v>
      </c>
      <c r="P46" s="72"/>
      <c r="Q46" s="105">
        <f t="shared" ref="Q46:Q48" si="40">SUMPRODUCT($C$45:$N$45,$C46:$N46)/1000</f>
        <v>0</v>
      </c>
    </row>
    <row r="47" spans="2:21">
      <c r="B47" s="3">
        <v>2</v>
      </c>
      <c r="C47" s="74">
        <v>384377.42501461302</v>
      </c>
      <c r="D47" s="74">
        <v>144263.97232764977</v>
      </c>
      <c r="E47" s="74">
        <v>101860.03578685955</v>
      </c>
      <c r="F47" s="74">
        <v>4264.4412168193512</v>
      </c>
      <c r="G47" s="74">
        <v>79343.311457817792</v>
      </c>
      <c r="H47" s="74">
        <v>20610.401494781359</v>
      </c>
      <c r="I47" s="74">
        <v>9608.5804215343123</v>
      </c>
      <c r="J47" s="74">
        <v>968.94646945862712</v>
      </c>
      <c r="K47" s="74"/>
      <c r="L47" s="74">
        <v>557.23938251141089</v>
      </c>
      <c r="M47" s="74">
        <v>15.205582830767302</v>
      </c>
      <c r="N47" s="74">
        <v>63499.197042102394</v>
      </c>
      <c r="O47" s="10">
        <f t="shared" si="39"/>
        <v>809368.75619697839</v>
      </c>
      <c r="P47" s="72"/>
      <c r="Q47" s="106">
        <f t="shared" si="40"/>
        <v>1623.5497116224349</v>
      </c>
    </row>
    <row r="48" spans="2:21">
      <c r="B48" s="3">
        <v>3</v>
      </c>
      <c r="C48" s="74">
        <v>1307973.7003826252</v>
      </c>
      <c r="D48" s="74">
        <v>453550.64137040207</v>
      </c>
      <c r="E48" s="74">
        <v>225270.62400510436</v>
      </c>
      <c r="F48" s="74">
        <v>9612.4735600060885</v>
      </c>
      <c r="G48" s="74">
        <v>178445.34109125577</v>
      </c>
      <c r="H48" s="74">
        <v>46359.539795847304</v>
      </c>
      <c r="I48" s="74">
        <v>21610.515434946752</v>
      </c>
      <c r="J48" s="74">
        <v>2185.6868248373312</v>
      </c>
      <c r="K48" s="74"/>
      <c r="L48" s="74">
        <v>1863.8757882006134</v>
      </c>
      <c r="M48" s="74">
        <v>48.420870147598947</v>
      </c>
      <c r="N48" s="74">
        <v>220992.80852188764</v>
      </c>
      <c r="O48" s="10">
        <f t="shared" si="39"/>
        <v>2467913.6276452611</v>
      </c>
      <c r="P48" s="72"/>
      <c r="Q48" s="106">
        <f t="shared" si="40"/>
        <v>4381.8688559369957</v>
      </c>
    </row>
    <row r="49" spans="2:17">
      <c r="B49" s="3">
        <v>4</v>
      </c>
      <c r="C49" s="4">
        <v>1405256.6750773236</v>
      </c>
      <c r="D49" s="4">
        <v>486495.95949060196</v>
      </c>
      <c r="E49" s="4">
        <v>239139.89910507464</v>
      </c>
      <c r="F49" s="4">
        <v>10209.275177740161</v>
      </c>
      <c r="G49" s="4">
        <v>189497.77238518649</v>
      </c>
      <c r="H49" s="4">
        <v>49231.079692174302</v>
      </c>
      <c r="I49" s="4">
        <v>22949.027041164649</v>
      </c>
      <c r="J49" s="4">
        <v>2321.2236322469935</v>
      </c>
      <c r="K49" s="4"/>
      <c r="L49" s="4">
        <v>2002.5050137611415</v>
      </c>
      <c r="M49" s="4">
        <v>52.022262349816906</v>
      </c>
      <c r="N49" s="4">
        <v>237429.55934711907</v>
      </c>
      <c r="O49" s="10">
        <f t="shared" si="39"/>
        <v>2644584.9982247427</v>
      </c>
      <c r="P49" s="72"/>
      <c r="Q49" s="106">
        <f t="shared" ref="Q49:Q56" si="41">SUMPRODUCT($C$45:$N$45,$C49:$N49)/1000</f>
        <v>4680.4162922287205</v>
      </c>
    </row>
    <row r="50" spans="2:17">
      <c r="B50" s="3">
        <v>5</v>
      </c>
      <c r="C50" s="4">
        <v>1505411.0819092924</v>
      </c>
      <c r="D50" s="4">
        <v>520486.47761845111</v>
      </c>
      <c r="E50" s="4">
        <v>253624.64387288608</v>
      </c>
      <c r="F50" s="4">
        <v>10832.515473521329</v>
      </c>
      <c r="G50" s="4">
        <v>201042.8520930252</v>
      </c>
      <c r="H50" s="4">
        <v>52230.614917110652</v>
      </c>
      <c r="I50" s="4">
        <v>24347.201141748181</v>
      </c>
      <c r="J50" s="4">
        <v>2462.8018247076711</v>
      </c>
      <c r="K50" s="4"/>
      <c r="L50" s="4">
        <v>2145.2260592386551</v>
      </c>
      <c r="M50" s="4">
        <v>55.729954275504625</v>
      </c>
      <c r="N50" s="4">
        <v>254351.46201623679</v>
      </c>
      <c r="O50" s="10">
        <f t="shared" si="39"/>
        <v>2826990.606880493</v>
      </c>
      <c r="P50" s="72"/>
      <c r="Q50" s="106">
        <f t="shared" si="41"/>
        <v>4989.8238332221536</v>
      </c>
    </row>
    <row r="51" spans="2:17">
      <c r="B51" s="3">
        <v>6</v>
      </c>
      <c r="C51" s="4">
        <v>1610520.2494814813</v>
      </c>
      <c r="D51" s="4">
        <v>555908.78099018615</v>
      </c>
      <c r="E51" s="4">
        <v>267974.30048701155</v>
      </c>
      <c r="F51" s="4">
        <v>11451.319619344236</v>
      </c>
      <c r="G51" s="4">
        <v>212495.76198266508</v>
      </c>
      <c r="H51" s="4">
        <v>55206.244022583589</v>
      </c>
      <c r="I51" s="4">
        <v>25734.216562663736</v>
      </c>
      <c r="J51" s="4">
        <v>2603.2925041770541</v>
      </c>
      <c r="K51" s="4"/>
      <c r="L51" s="4">
        <v>2295.0076890209771</v>
      </c>
      <c r="M51" s="4">
        <v>59.621070245838233</v>
      </c>
      <c r="N51" s="4">
        <v>272110.51186286646</v>
      </c>
      <c r="O51" s="10">
        <f>SUM(C51:N51)</f>
        <v>3016359.3062722459</v>
      </c>
      <c r="P51" s="72"/>
      <c r="Q51" s="106">
        <f t="shared" si="41"/>
        <v>5306.3651310266105</v>
      </c>
    </row>
    <row r="52" spans="2:17">
      <c r="B52" s="3">
        <v>7</v>
      </c>
      <c r="C52" s="4">
        <v>1719939.2012642664</v>
      </c>
      <c r="D52" s="4">
        <v>592227.65498170082</v>
      </c>
      <c r="E52" s="4">
        <v>281056.64666154346</v>
      </c>
      <c r="F52" s="4">
        <v>12018.378044452333</v>
      </c>
      <c r="G52" s="4">
        <v>222967.40927308449</v>
      </c>
      <c r="H52" s="4">
        <v>57927.01143917178</v>
      </c>
      <c r="I52" s="4">
        <v>27002.402740246267</v>
      </c>
      <c r="J52" s="4">
        <v>2731.8350741890717</v>
      </c>
      <c r="K52" s="4"/>
      <c r="L52" s="4">
        <v>2450.9308050121954</v>
      </c>
      <c r="M52" s="4">
        <v>63.671733385632812</v>
      </c>
      <c r="N52" s="4">
        <v>290597.73484978505</v>
      </c>
      <c r="O52" s="10">
        <f t="shared" si="39"/>
        <v>3208982.876866837</v>
      </c>
      <c r="P52" s="72"/>
      <c r="Q52" s="106">
        <f t="shared" si="41"/>
        <v>5618.0111852649788</v>
      </c>
    </row>
    <row r="53" spans="2:17">
      <c r="B53" s="3">
        <v>8</v>
      </c>
      <c r="C53" s="4">
        <v>1831781.5463148067</v>
      </c>
      <c r="D53" s="4">
        <v>629507.01134063944</v>
      </c>
      <c r="E53" s="4">
        <v>294901.95479083352</v>
      </c>
      <c r="F53" s="4">
        <v>12617.997088374304</v>
      </c>
      <c r="G53" s="4">
        <v>234047.83029151915</v>
      </c>
      <c r="H53" s="4">
        <v>60805.93871246012</v>
      </c>
      <c r="I53" s="4">
        <v>28344.314301934697</v>
      </c>
      <c r="J53" s="4">
        <v>2867.8366847751172</v>
      </c>
      <c r="K53" s="4"/>
      <c r="L53" s="4">
        <v>2610.3072809874375</v>
      </c>
      <c r="M53" s="4">
        <v>67.812109958274107</v>
      </c>
      <c r="N53" s="4">
        <v>309494.40986485803</v>
      </c>
      <c r="O53" s="10">
        <f t="shared" si="39"/>
        <v>3407046.9587811464</v>
      </c>
      <c r="P53" s="72"/>
      <c r="Q53" s="106">
        <f t="shared" si="41"/>
        <v>5941.1993891200109</v>
      </c>
    </row>
    <row r="54" spans="2:17">
      <c r="B54" s="3">
        <v>9</v>
      </c>
      <c r="C54" s="4">
        <v>1947722.1147296841</v>
      </c>
      <c r="D54" s="4">
        <v>668321.85945610912</v>
      </c>
      <c r="E54" s="4">
        <v>309770.06739213213</v>
      </c>
      <c r="F54" s="4">
        <v>13261.362186083752</v>
      </c>
      <c r="G54" s="4">
        <v>245944.49890805408</v>
      </c>
      <c r="H54" s="4">
        <v>63896.930077133322</v>
      </c>
      <c r="I54" s="4">
        <v>29785.077527514295</v>
      </c>
      <c r="J54" s="4">
        <v>3013.8419237211419</v>
      </c>
      <c r="K54" s="4"/>
      <c r="L54" s="4">
        <v>2775.5237668200593</v>
      </c>
      <c r="M54" s="4">
        <v>72.104201768998848</v>
      </c>
      <c r="N54" s="4">
        <v>329083.51309234084</v>
      </c>
      <c r="O54" s="10">
        <f t="shared" si="39"/>
        <v>3613646.8932613614</v>
      </c>
      <c r="P54" s="72"/>
      <c r="Q54" s="106">
        <f t="shared" si="41"/>
        <v>6281.2810882480126</v>
      </c>
    </row>
    <row r="55" spans="2:17">
      <c r="B55" s="3">
        <v>10</v>
      </c>
      <c r="C55" s="4">
        <v>2067370.892262063</v>
      </c>
      <c r="D55" s="4">
        <v>708544.45689772768</v>
      </c>
      <c r="E55" s="4">
        <v>325616.6400861984</v>
      </c>
      <c r="F55" s="4">
        <v>13946.571172658316</v>
      </c>
      <c r="G55" s="4">
        <v>258622.36942742392</v>
      </c>
      <c r="H55" s="4">
        <v>67190.880574987226</v>
      </c>
      <c r="I55" s="4">
        <v>31320.448211741405</v>
      </c>
      <c r="J55" s="4">
        <v>3169.4213269024385</v>
      </c>
      <c r="K55" s="4"/>
      <c r="L55" s="4">
        <v>2946.0244882528868</v>
      </c>
      <c r="M55" s="4">
        <v>76.533570584686416</v>
      </c>
      <c r="N55" s="4">
        <v>349299.14844904246</v>
      </c>
      <c r="O55" s="10">
        <f t="shared" si="39"/>
        <v>3828103.3864675825</v>
      </c>
      <c r="P55" s="72"/>
      <c r="Q55" s="106">
        <f t="shared" si="41"/>
        <v>6637.173327789269</v>
      </c>
    </row>
    <row r="56" spans="2:17">
      <c r="B56" s="3">
        <v>11</v>
      </c>
      <c r="C56" s="4">
        <v>2190334.05978079</v>
      </c>
      <c r="D56" s="4">
        <v>750045.09228938411</v>
      </c>
      <c r="E56" s="4">
        <v>342394.91044538806</v>
      </c>
      <c r="F56" s="4">
        <v>14671.617822014687</v>
      </c>
      <c r="G56" s="4">
        <v>272044.44070555049</v>
      </c>
      <c r="H56" s="4">
        <v>70678.177186877205</v>
      </c>
      <c r="I56" s="4">
        <v>32945.945332240284</v>
      </c>
      <c r="J56" s="4">
        <v>3334.1214351810759</v>
      </c>
      <c r="K56" s="4"/>
      <c r="L56" s="4">
        <v>3121.2482490300081</v>
      </c>
      <c r="M56" s="4">
        <v>81.08563731631871</v>
      </c>
      <c r="N56" s="4">
        <v>370074.7769855808</v>
      </c>
      <c r="O56" s="10">
        <f t="shared" si="39"/>
        <v>4049725.4758693529</v>
      </c>
      <c r="P56" s="72"/>
      <c r="Q56" s="106">
        <f t="shared" si="41"/>
        <v>7007.7627345808951</v>
      </c>
    </row>
    <row r="57" spans="2:17">
      <c r="B57" s="3">
        <v>12</v>
      </c>
      <c r="C57" s="4">
        <v>2316184.4585070973</v>
      </c>
      <c r="D57" s="4">
        <v>792681.88276218786</v>
      </c>
      <c r="E57" s="4">
        <v>360050.91705545736</v>
      </c>
      <c r="F57" s="4">
        <v>15434.186267284214</v>
      </c>
      <c r="G57" s="4">
        <v>286167.94061792106</v>
      </c>
      <c r="H57" s="4">
        <v>74347.707517502378</v>
      </c>
      <c r="I57" s="4">
        <v>34656.388967223043</v>
      </c>
      <c r="J57" s="4">
        <v>3507.418005010557</v>
      </c>
      <c r="K57" s="4"/>
      <c r="L57" s="4">
        <v>3300.5863435595375</v>
      </c>
      <c r="M57" s="4">
        <v>85.744588649183754</v>
      </c>
      <c r="N57" s="4">
        <v>391338.22674759827</v>
      </c>
      <c r="O57" s="10">
        <f t="shared" si="39"/>
        <v>4277755.4573794911</v>
      </c>
      <c r="P57" s="72"/>
      <c r="Q57" s="106">
        <f t="shared" ref="Q57:Q80" si="42">SUMPRODUCT($C$45:$N$45,$C57:$N57)/1000</f>
        <v>7391.8092173386849</v>
      </c>
    </row>
    <row r="58" spans="2:17">
      <c r="B58" s="3">
        <v>13</v>
      </c>
      <c r="C58" s="4">
        <v>2444474.5975315878</v>
      </c>
      <c r="D58" s="4">
        <v>836305.13982491218</v>
      </c>
      <c r="E58" s="4">
        <v>378525.24054664688</v>
      </c>
      <c r="F58" s="4">
        <v>16231.72596324999</v>
      </c>
      <c r="G58" s="4">
        <v>300945.71269977849</v>
      </c>
      <c r="H58" s="4">
        <v>78187.220060047315</v>
      </c>
      <c r="I58" s="4">
        <v>36446.068225478251</v>
      </c>
      <c r="J58" s="4">
        <v>3688.7330136319506</v>
      </c>
      <c r="K58" s="4"/>
      <c r="L58" s="4">
        <v>3483.401092757239</v>
      </c>
      <c r="M58" s="4">
        <v>90.493858578009622</v>
      </c>
      <c r="N58" s="4">
        <v>413013.89050168742</v>
      </c>
      <c r="O58" s="10">
        <f t="shared" si="39"/>
        <v>4511392.2233183552</v>
      </c>
      <c r="P58" s="72"/>
      <c r="Q58" s="106">
        <f t="shared" si="42"/>
        <v>7787.9847628280695</v>
      </c>
    </row>
    <row r="59" spans="2:17">
      <c r="B59" s="3">
        <v>14</v>
      </c>
      <c r="C59" s="4">
        <v>2574780.9186812676</v>
      </c>
      <c r="D59" s="4">
        <v>880772.60982679343</v>
      </c>
      <c r="E59" s="4">
        <v>397760.01985179895</v>
      </c>
      <c r="F59" s="4">
        <v>17061.753463422134</v>
      </c>
      <c r="G59" s="4">
        <v>316331.81526058691</v>
      </c>
      <c r="H59" s="4">
        <v>82184.778906673731</v>
      </c>
      <c r="I59" s="4">
        <v>38309.419330688768</v>
      </c>
      <c r="J59" s="4">
        <v>3877.5033221270542</v>
      </c>
      <c r="K59" s="4"/>
      <c r="L59" s="4">
        <v>3669.0889219309693</v>
      </c>
      <c r="M59" s="4">
        <v>95.317767081639488</v>
      </c>
      <c r="N59" s="4">
        <v>435030.20464515907</v>
      </c>
      <c r="O59" s="10">
        <f t="shared" si="39"/>
        <v>4749873.4299775306</v>
      </c>
      <c r="P59" s="72"/>
      <c r="Q59" s="106">
        <f t="shared" si="42"/>
        <v>8195.0162946183937</v>
      </c>
    </row>
    <row r="60" spans="2:17">
      <c r="B60" s="3">
        <v>15</v>
      </c>
      <c r="C60" s="4">
        <v>2706681.1332239779</v>
      </c>
      <c r="D60" s="4">
        <v>925941.65351218637</v>
      </c>
      <c r="E60" s="4">
        <v>417695.30716775166</v>
      </c>
      <c r="F60" s="4">
        <v>17921.695681372988</v>
      </c>
      <c r="G60" s="4">
        <v>332278.61264260608</v>
      </c>
      <c r="H60" s="4">
        <v>86328.008026996642</v>
      </c>
      <c r="I60" s="4">
        <v>40240.67335653663</v>
      </c>
      <c r="J60" s="4">
        <v>4073.1450059519821</v>
      </c>
      <c r="K60" s="4"/>
      <c r="L60" s="4">
        <v>3857.0480653546529</v>
      </c>
      <c r="M60" s="4">
        <v>100.20068113330942</v>
      </c>
      <c r="N60" s="4">
        <v>457315.82005769073</v>
      </c>
      <c r="O60" s="10">
        <f t="shared" si="39"/>
        <v>4992433.2974215597</v>
      </c>
      <c r="P60" s="72"/>
      <c r="Q60" s="106">
        <f t="shared" si="42"/>
        <v>8611.6120128846233</v>
      </c>
    </row>
    <row r="61" spans="2:17">
      <c r="B61" s="3">
        <v>16</v>
      </c>
      <c r="C61" s="4">
        <v>2839732.4754985264</v>
      </c>
      <c r="D61" s="4">
        <v>971661.7286890148</v>
      </c>
      <c r="E61" s="4">
        <v>438265.53277239949</v>
      </c>
      <c r="F61" s="4">
        <v>18808.737882891666</v>
      </c>
      <c r="G61" s="4">
        <v>348733.95378416951</v>
      </c>
      <c r="H61" s="4">
        <v>90603.358229225574</v>
      </c>
      <c r="I61" s="4">
        <v>42233.514534895883</v>
      </c>
      <c r="J61" s="4">
        <v>4275.018756062429</v>
      </c>
      <c r="K61" s="4"/>
      <c r="L61" s="4">
        <v>4046.6475774706669</v>
      </c>
      <c r="M61" s="4">
        <v>105.12620965529348</v>
      </c>
      <c r="N61" s="4">
        <v>479795.92787504051</v>
      </c>
      <c r="O61" s="10">
        <f t="shared" si="39"/>
        <v>5238262.0218093526</v>
      </c>
      <c r="P61" s="72"/>
      <c r="Q61" s="106">
        <f t="shared" si="42"/>
        <v>9036.3903405373294</v>
      </c>
    </row>
    <row r="62" spans="2:17">
      <c r="B62" s="3">
        <v>17</v>
      </c>
      <c r="C62" s="4">
        <v>2973656.9705170048</v>
      </c>
      <c r="D62" s="4">
        <v>1017838.969147312</v>
      </c>
      <c r="E62" s="4">
        <v>459431.11886000342</v>
      </c>
      <c r="F62" s="4">
        <v>19721.182918370592</v>
      </c>
      <c r="G62" s="4">
        <v>365666.42065522389</v>
      </c>
      <c r="H62" s="4">
        <v>95002.66697439985</v>
      </c>
      <c r="I62" s="4">
        <v>44284.137983463486</v>
      </c>
      <c r="J62" s="4">
        <v>4482.7395029910986</v>
      </c>
      <c r="K62" s="4"/>
      <c r="L62" s="4">
        <v>4237.4913411020862</v>
      </c>
      <c r="M62" s="4">
        <v>110.08406208074781</v>
      </c>
      <c r="N62" s="4">
        <v>502423.56195923581</v>
      </c>
      <c r="O62" s="10">
        <f t="shared" si="39"/>
        <v>5486855.3439211883</v>
      </c>
      <c r="P62" s="72"/>
      <c r="Q62" s="106">
        <f t="shared" si="42"/>
        <v>9468.5001702112459</v>
      </c>
    </row>
    <row r="63" spans="2:17">
      <c r="B63" s="3">
        <v>18</v>
      </c>
      <c r="C63" s="4">
        <v>3108387.0712536033</v>
      </c>
      <c r="D63" s="4">
        <v>1064452.7912780198</v>
      </c>
      <c r="E63" s="4">
        <v>481188.2445575766</v>
      </c>
      <c r="F63" s="4">
        <v>20658.870715827568</v>
      </c>
      <c r="G63" s="4">
        <v>383073.14479560457</v>
      </c>
      <c r="H63" s="4">
        <v>99525.189197189116</v>
      </c>
      <c r="I63" s="4">
        <v>46392.196332564206</v>
      </c>
      <c r="J63" s="4">
        <v>4696.2722722108792</v>
      </c>
      <c r="K63" s="4"/>
      <c r="L63" s="4">
        <v>4429.4831010520875</v>
      </c>
      <c r="M63" s="4">
        <v>115.07173783510842</v>
      </c>
      <c r="N63" s="4">
        <v>525187.3096901786</v>
      </c>
      <c r="O63" s="10">
        <f t="shared" si="39"/>
        <v>5738105.6449316619</v>
      </c>
      <c r="P63" s="72"/>
      <c r="Q63" s="106">
        <f t="shared" si="42"/>
        <v>9907.7933049848161</v>
      </c>
    </row>
    <row r="64" spans="2:17">
      <c r="B64" s="3">
        <v>19</v>
      </c>
      <c r="C64" s="4">
        <v>3243895.7491019359</v>
      </c>
      <c r="D64" s="4">
        <v>1111497.1705020892</v>
      </c>
      <c r="E64" s="4">
        <v>503541.27072658431</v>
      </c>
      <c r="F64" s="4">
        <v>21621.992457950641</v>
      </c>
      <c r="G64" s="4">
        <v>400957.79747060244</v>
      </c>
      <c r="H64" s="4">
        <v>104171.87891333707</v>
      </c>
      <c r="I64" s="4">
        <v>48558.134209215932</v>
      </c>
      <c r="J64" s="4">
        <v>4915.6622762654706</v>
      </c>
      <c r="K64" s="4"/>
      <c r="L64" s="4">
        <v>4622.5843412824515</v>
      </c>
      <c r="M64" s="4">
        <v>120.08823632590185</v>
      </c>
      <c r="N64" s="4">
        <v>548082.60436470481</v>
      </c>
      <c r="O64" s="10">
        <f t="shared" si="39"/>
        <v>5991984.9326002933</v>
      </c>
      <c r="P64" s="72"/>
      <c r="Q64" s="106">
        <f t="shared" si="42"/>
        <v>10354.269725792268</v>
      </c>
    </row>
    <row r="65" spans="2:17">
      <c r="B65" s="3">
        <v>20</v>
      </c>
      <c r="C65" s="4">
        <v>3380056.9681323492</v>
      </c>
      <c r="D65" s="4">
        <v>1159090.9508894496</v>
      </c>
      <c r="E65" s="4">
        <v>526999.44077139057</v>
      </c>
      <c r="F65" s="4">
        <v>22631.76912343024</v>
      </c>
      <c r="G65" s="4">
        <v>419719.98467827408</v>
      </c>
      <c r="H65" s="4">
        <v>109046.53841655943</v>
      </c>
      <c r="I65" s="4">
        <v>50830.344405640986</v>
      </c>
      <c r="J65" s="4">
        <v>5145.7892368437888</v>
      </c>
      <c r="K65" s="4"/>
      <c r="L65" s="4">
        <v>4816.6154593151978</v>
      </c>
      <c r="M65" s="4">
        <v>125.12889173348518</v>
      </c>
      <c r="N65" s="4">
        <v>571088.15118609148</v>
      </c>
      <c r="O65" s="10">
        <f t="shared" si="39"/>
        <v>6249551.6811910784</v>
      </c>
      <c r="P65" s="72"/>
      <c r="Q65" s="106">
        <f t="shared" si="42"/>
        <v>10812.641403909591</v>
      </c>
    </row>
    <row r="66" spans="2:17">
      <c r="B66" s="3">
        <v>21</v>
      </c>
      <c r="C66" s="4">
        <v>3516620.3950872272</v>
      </c>
      <c r="D66" s="4">
        <v>1207307.9975230349</v>
      </c>
      <c r="E66" s="4">
        <v>552045.55102550541</v>
      </c>
      <c r="F66" s="4">
        <v>23708.29016814565</v>
      </c>
      <c r="G66" s="4">
        <v>439738.23832485569</v>
      </c>
      <c r="H66" s="4">
        <v>114247.49488235702</v>
      </c>
      <c r="I66" s="4">
        <v>53254.667536867069</v>
      </c>
      <c r="J66" s="4">
        <v>5391.2746071680922</v>
      </c>
      <c r="K66" s="4"/>
      <c r="L66" s="4">
        <v>5011.2197277194009</v>
      </c>
      <c r="M66" s="4">
        <v>130.18443678118672</v>
      </c>
      <c r="N66" s="4">
        <v>594161.65431180689</v>
      </c>
      <c r="O66" s="10">
        <f t="shared" si="39"/>
        <v>6511616.9676314685</v>
      </c>
      <c r="P66" s="72"/>
      <c r="Q66" s="106">
        <f t="shared" si="42"/>
        <v>11287.153260037276</v>
      </c>
    </row>
    <row r="67" spans="2:17">
      <c r="B67" s="3">
        <v>22</v>
      </c>
      <c r="C67" s="4">
        <v>3653302.3002667455</v>
      </c>
      <c r="D67" s="4">
        <v>1255711.407593952</v>
      </c>
      <c r="E67" s="4">
        <v>577522.69853337645</v>
      </c>
      <c r="F67" s="4">
        <v>24803.26796785535</v>
      </c>
      <c r="G67" s="4">
        <v>460104.36707211327</v>
      </c>
      <c r="H67" s="4">
        <v>119538.83302110634</v>
      </c>
      <c r="I67" s="4">
        <v>55721.120299790091</v>
      </c>
      <c r="J67" s="4">
        <v>5641.0259963681547</v>
      </c>
      <c r="K67" s="4"/>
      <c r="L67" s="4">
        <v>5205.9928287952953</v>
      </c>
      <c r="M67" s="4">
        <v>135.24436786411891</v>
      </c>
      <c r="N67" s="4">
        <v>617255.17529843538</v>
      </c>
      <c r="O67" s="10">
        <f t="shared" si="39"/>
        <v>6774941.4332464021</v>
      </c>
      <c r="P67" s="72"/>
      <c r="Q67" s="106">
        <f t="shared" si="42"/>
        <v>11766.144232111017</v>
      </c>
    </row>
    <row r="68" spans="2:17">
      <c r="B68" s="3">
        <v>23</v>
      </c>
      <c r="C68" s="4">
        <v>3789846.9002062632</v>
      </c>
      <c r="D68" s="4">
        <v>1304215.907942635</v>
      </c>
      <c r="E68" s="4">
        <v>603398.23768273182</v>
      </c>
      <c r="F68" s="4">
        <v>25915.296926718856</v>
      </c>
      <c r="G68" s="4">
        <v>480792.39603527007</v>
      </c>
      <c r="H68" s="4">
        <v>124913.80427984608</v>
      </c>
      <c r="I68" s="4">
        <v>58226.556989739343</v>
      </c>
      <c r="J68" s="4">
        <v>5894.7248724520696</v>
      </c>
      <c r="K68" s="4"/>
      <c r="L68" s="4">
        <v>5400.5702685116721</v>
      </c>
      <c r="M68" s="4">
        <v>140.29921594026379</v>
      </c>
      <c r="N68" s="4">
        <v>640325.49744658277</v>
      </c>
      <c r="O68" s="10">
        <f t="shared" si="39"/>
        <v>7039070.1918666912</v>
      </c>
      <c r="P68" s="72"/>
      <c r="Q68" s="106">
        <f t="shared" si="42"/>
        <v>12248.86732316776</v>
      </c>
    </row>
    <row r="69" spans="2:17">
      <c r="B69" s="3">
        <v>24</v>
      </c>
      <c r="C69" s="4">
        <v>3925963.4574120636</v>
      </c>
      <c r="D69" s="4">
        <v>1352723.477530889</v>
      </c>
      <c r="E69" s="4">
        <v>629631.96098591364</v>
      </c>
      <c r="F69" s="4">
        <v>27042.646624251112</v>
      </c>
      <c r="G69" s="4">
        <v>501770.29698823963</v>
      </c>
      <c r="H69" s="4">
        <v>130364.08738278001</v>
      </c>
      <c r="I69" s="4">
        <v>60767.098808357914</v>
      </c>
      <c r="J69" s="4">
        <v>6151.9784708420439</v>
      </c>
      <c r="K69" s="4"/>
      <c r="L69" s="4">
        <v>5594.5377429913942</v>
      </c>
      <c r="M69" s="4">
        <v>145.33821797789821</v>
      </c>
      <c r="N69" s="4">
        <v>663323.49828898523</v>
      </c>
      <c r="O69" s="10">
        <f t="shared" si="39"/>
        <v>7303478.378453291</v>
      </c>
      <c r="P69" s="72"/>
      <c r="Q69" s="106">
        <f t="shared" si="42"/>
        <v>12734.442642786642</v>
      </c>
    </row>
    <row r="70" spans="2:17">
      <c r="B70" s="3">
        <v>25</v>
      </c>
      <c r="C70" s="4">
        <v>4061340.9617025536</v>
      </c>
      <c r="D70" s="4">
        <v>1401128.4060106953</v>
      </c>
      <c r="E70" s="4">
        <v>656178.43758016103</v>
      </c>
      <c r="F70" s="4">
        <v>28183.362388199657</v>
      </c>
      <c r="G70" s="4">
        <v>523001.85451201524</v>
      </c>
      <c r="H70" s="4">
        <v>135880.27317659376</v>
      </c>
      <c r="I70" s="4">
        <v>63338.359864670696</v>
      </c>
      <c r="J70" s="4">
        <v>6412.3426790943358</v>
      </c>
      <c r="K70" s="4"/>
      <c r="L70" s="4">
        <v>5787.452059571503</v>
      </c>
      <c r="M70" s="4">
        <v>150.34986045529533</v>
      </c>
      <c r="N70" s="4">
        <v>686196.63012266636</v>
      </c>
      <c r="O70" s="10">
        <f t="shared" si="39"/>
        <v>7567598.4299566755</v>
      </c>
      <c r="P70" s="72"/>
      <c r="Q70" s="106">
        <f t="shared" si="42"/>
        <v>13221.904900993915</v>
      </c>
    </row>
    <row r="71" spans="2:17">
      <c r="B71" s="3">
        <v>26</v>
      </c>
      <c r="C71" s="4">
        <v>4195629.2192513542</v>
      </c>
      <c r="D71" s="4">
        <v>1449310.380306009</v>
      </c>
      <c r="E71" s="4">
        <v>682982.87530659302</v>
      </c>
      <c r="F71" s="4">
        <v>29335.087554572201</v>
      </c>
      <c r="G71" s="4">
        <v>544443.35322997975</v>
      </c>
      <c r="H71" s="4">
        <v>141451.00393874652</v>
      </c>
      <c r="I71" s="4">
        <v>65935.045980644267</v>
      </c>
      <c r="J71" s="4">
        <v>6675.2814122133695</v>
      </c>
      <c r="K71" s="4"/>
      <c r="L71" s="4">
        <v>5978.8141884978231</v>
      </c>
      <c r="M71" s="4">
        <v>155.32117928167207</v>
      </c>
      <c r="N71" s="4">
        <v>708885.72484875924</v>
      </c>
      <c r="O71" s="10">
        <f t="shared" si="39"/>
        <v>7830782.1071966523</v>
      </c>
      <c r="P71" s="72"/>
      <c r="Q71" s="106">
        <f t="shared" si="42"/>
        <v>13710.131045011725</v>
      </c>
    </row>
    <row r="72" spans="2:17">
      <c r="B72" s="3">
        <v>27</v>
      </c>
      <c r="C72" s="4">
        <v>4328431.952261406</v>
      </c>
      <c r="D72" s="4">
        <v>1497131.7833456125</v>
      </c>
      <c r="E72" s="4">
        <v>709979.10487552965</v>
      </c>
      <c r="F72" s="4">
        <v>30494.976952039862</v>
      </c>
      <c r="G72" s="4">
        <v>566041.96046981728</v>
      </c>
      <c r="H72" s="4">
        <v>147062.55317573191</v>
      </c>
      <c r="I72" s="4">
        <v>68550.758822445874</v>
      </c>
      <c r="J72" s="4">
        <v>6940.146779111451</v>
      </c>
      <c r="K72" s="4"/>
      <c r="L72" s="4">
        <v>6168.0594298905944</v>
      </c>
      <c r="M72" s="4">
        <v>160.23750434879298</v>
      </c>
      <c r="N72" s="4">
        <v>731323.8281062548</v>
      </c>
      <c r="O72" s="10">
        <f t="shared" si="39"/>
        <v>8092285.3617221881</v>
      </c>
      <c r="P72" s="72"/>
      <c r="Q72" s="106">
        <f t="shared" si="42"/>
        <v>14197.80882698753</v>
      </c>
    </row>
    <row r="73" spans="2:17">
      <c r="B73" s="3">
        <v>28</v>
      </c>
      <c r="C73" s="4">
        <v>4459325.1449937727</v>
      </c>
      <c r="D73" s="4">
        <v>1544443.9739610855</v>
      </c>
      <c r="E73" s="4">
        <v>737092.38494244567</v>
      </c>
      <c r="F73" s="4">
        <v>31659.817564069032</v>
      </c>
      <c r="G73" s="4">
        <v>587737.96363503276</v>
      </c>
      <c r="H73" s="4">
        <v>152699.40691613607</v>
      </c>
      <c r="I73" s="4">
        <v>71178.266858720963</v>
      </c>
      <c r="J73" s="4">
        <v>7206.206519666277</v>
      </c>
      <c r="K73" s="4"/>
      <c r="L73" s="4">
        <v>6354.5835570215659</v>
      </c>
      <c r="M73" s="4">
        <v>165.08313869652068</v>
      </c>
      <c r="N73" s="4">
        <v>753439.29898297088</v>
      </c>
      <c r="O73" s="10">
        <f t="shared" si="39"/>
        <v>8351302.1310696192</v>
      </c>
      <c r="P73" s="72"/>
      <c r="Q73" s="106">
        <f t="shared" si="42"/>
        <v>14683.494988944323</v>
      </c>
    </row>
    <row r="74" spans="2:17">
      <c r="B74" s="3">
        <v>29</v>
      </c>
      <c r="C74" s="4">
        <v>4587827.7838630434</v>
      </c>
      <c r="D74" s="4">
        <v>1591076.4624460172</v>
      </c>
      <c r="E74" s="4">
        <v>764232.63813755696</v>
      </c>
      <c r="F74" s="4">
        <v>32825.738041564371</v>
      </c>
      <c r="G74" s="4">
        <v>609459.35256756318</v>
      </c>
      <c r="H74" s="4">
        <v>158342.85615048223</v>
      </c>
      <c r="I74" s="4">
        <v>73808.849254227971</v>
      </c>
      <c r="J74" s="4">
        <v>7472.5775678206701</v>
      </c>
      <c r="K74" s="4"/>
      <c r="L74" s="4">
        <v>6537.7011206531997</v>
      </c>
      <c r="M74" s="4">
        <v>169.84027531822227</v>
      </c>
      <c r="N74" s="4">
        <v>775150.86631638627</v>
      </c>
      <c r="O74" s="10">
        <f t="shared" si="39"/>
        <v>8606904.6657406334</v>
      </c>
      <c r="P74" s="72"/>
      <c r="Q74" s="106">
        <f t="shared" si="42"/>
        <v>15165.499705786686</v>
      </c>
    </row>
    <row r="75" spans="2:17">
      <c r="B75" s="3">
        <v>30</v>
      </c>
      <c r="C75" s="4">
        <v>4713447.8022220712</v>
      </c>
      <c r="D75" s="4">
        <v>1636853.1838984541</v>
      </c>
      <c r="E75" s="4">
        <v>791303.0230751941</v>
      </c>
      <c r="F75" s="4">
        <v>33988.577116389715</v>
      </c>
      <c r="G75" s="4">
        <v>631128.67197504535</v>
      </c>
      <c r="H75" s="4">
        <v>163972.77716514689</v>
      </c>
      <c r="I75" s="4">
        <v>76433.125737329494</v>
      </c>
      <c r="J75" s="4">
        <v>7738.3100834204906</v>
      </c>
      <c r="K75" s="4"/>
      <c r="L75" s="4">
        <v>6716.7109208228958</v>
      </c>
      <c r="M75" s="4">
        <v>174.49069802559177</v>
      </c>
      <c r="N75" s="4">
        <v>796375.39143918653</v>
      </c>
      <c r="O75" s="10">
        <f t="shared" si="39"/>
        <v>8858132.0643310882</v>
      </c>
      <c r="P75" s="72"/>
      <c r="Q75" s="106">
        <f t="shared" si="42"/>
        <v>15642.047674901778</v>
      </c>
    </row>
    <row r="76" spans="2:17">
      <c r="B76" s="3">
        <v>31</v>
      </c>
      <c r="C76" s="4">
        <v>4835693.1566255614</v>
      </c>
      <c r="D76" s="4">
        <v>1681596.3043875843</v>
      </c>
      <c r="E76" s="4">
        <v>818201.66961023654</v>
      </c>
      <c r="F76" s="4">
        <v>35143.958235985519</v>
      </c>
      <c r="G76" s="4">
        <v>652664.4059094016</v>
      </c>
      <c r="H76" s="4">
        <v>169567.99124470839</v>
      </c>
      <c r="I76" s="4">
        <v>79041.224268137434</v>
      </c>
      <c r="J76" s="4">
        <v>8002.4044301810491</v>
      </c>
      <c r="K76" s="4"/>
      <c r="L76" s="4">
        <v>6890.9117906309148</v>
      </c>
      <c r="M76" s="4">
        <v>179.01619148925016</v>
      </c>
      <c r="N76" s="4">
        <v>817029.73960419756</v>
      </c>
      <c r="O76" s="10">
        <f t="shared" si="39"/>
        <v>9104010.7822981142</v>
      </c>
      <c r="P76" s="72"/>
      <c r="Q76" s="106">
        <f t="shared" si="42"/>
        <v>16111.313659380072</v>
      </c>
    </row>
    <row r="77" spans="2:17">
      <c r="B77" s="3">
        <v>32</v>
      </c>
      <c r="C77" s="4">
        <v>4954058.2898201868</v>
      </c>
      <c r="D77" s="4">
        <v>1725121.1156288623</v>
      </c>
      <c r="E77" s="4">
        <v>844818.2735926176</v>
      </c>
      <c r="F77" s="4">
        <v>36287.143358131456</v>
      </c>
      <c r="G77" s="4">
        <v>673978.24851752189</v>
      </c>
      <c r="H77" s="4">
        <v>175105.55558377472</v>
      </c>
      <c r="I77" s="4">
        <v>81622.450511067058</v>
      </c>
      <c r="J77" s="4">
        <v>8263.7777066946983</v>
      </c>
      <c r="K77" s="4"/>
      <c r="L77" s="4">
        <v>7059.583305864031</v>
      </c>
      <c r="M77" s="4">
        <v>183.39804010191233</v>
      </c>
      <c r="N77" s="4">
        <v>837028.49279632629</v>
      </c>
      <c r="O77" s="10">
        <f t="shared" si="39"/>
        <v>9343526.3288611472</v>
      </c>
      <c r="P77" s="72"/>
      <c r="Q77" s="106">
        <f t="shared" si="42"/>
        <v>16571.36628404674</v>
      </c>
    </row>
    <row r="78" spans="2:17">
      <c r="B78" s="3">
        <v>33</v>
      </c>
      <c r="C78" s="4">
        <v>5068082.599482717</v>
      </c>
      <c r="D78" s="4">
        <v>1767257.3129380681</v>
      </c>
      <c r="E78" s="4">
        <v>871046.61605597229</v>
      </c>
      <c r="F78" s="4">
        <v>37413.570738586066</v>
      </c>
      <c r="G78" s="4">
        <v>694985.12484625354</v>
      </c>
      <c r="H78" s="4">
        <v>180563.36679932917</v>
      </c>
      <c r="I78" s="4">
        <v>84166.501410694182</v>
      </c>
      <c r="J78" s="4">
        <v>8521.3866323262373</v>
      </c>
      <c r="K78" s="4"/>
      <c r="L78" s="4">
        <v>7222.0691035403197</v>
      </c>
      <c r="M78" s="4">
        <v>187.61919247693626</v>
      </c>
      <c r="N78" s="4">
        <v>856293.82850202185</v>
      </c>
      <c r="O78" s="10">
        <f t="shared" si="39"/>
        <v>9575739.9957019873</v>
      </c>
      <c r="P78" s="72"/>
      <c r="Q78" s="106">
        <f t="shared" si="42"/>
        <v>17020.389040733102</v>
      </c>
    </row>
    <row r="79" spans="2:17">
      <c r="B79" s="3">
        <v>34</v>
      </c>
      <c r="C79" s="4">
        <v>5177483.0332117388</v>
      </c>
      <c r="D79" s="4">
        <v>1807898.5108764202</v>
      </c>
      <c r="E79" s="4">
        <v>896816.52708805294</v>
      </c>
      <c r="F79" s="4">
        <v>38520.227482592156</v>
      </c>
      <c r="G79" s="4">
        <v>715628.80103165959</v>
      </c>
      <c r="H79" s="4">
        <v>185926.81473189418</v>
      </c>
      <c r="I79" s="4">
        <v>86666.566729746992</v>
      </c>
      <c r="J79" s="4">
        <v>8774.5416069158819</v>
      </c>
      <c r="K79" s="4"/>
      <c r="L79" s="4">
        <v>7377.9658311171188</v>
      </c>
      <c r="M79" s="4">
        <v>191.66917008285782</v>
      </c>
      <c r="N79" s="4">
        <v>874777.92271295027</v>
      </c>
      <c r="O79" s="10">
        <f t="shared" si="39"/>
        <v>9800062.5804731715</v>
      </c>
      <c r="P79" s="72"/>
      <c r="Q79" s="106">
        <f t="shared" si="42"/>
        <v>17457.216988115644</v>
      </c>
    </row>
    <row r="80" spans="2:17">
      <c r="B80" s="3">
        <v>35</v>
      </c>
      <c r="C80" s="4">
        <v>5248829.6984522995</v>
      </c>
      <c r="D80" s="4">
        <v>1834502.7706517316</v>
      </c>
      <c r="E80" s="4">
        <v>913904.90351573436</v>
      </c>
      <c r="F80" s="4">
        <v>39254.029001559073</v>
      </c>
      <c r="G80" s="4">
        <v>729319.70905263175</v>
      </c>
      <c r="H80" s="4">
        <v>189483.85911006227</v>
      </c>
      <c r="I80" s="4">
        <v>88324.612710616027</v>
      </c>
      <c r="J80" s="4">
        <v>8942.4342555425155</v>
      </c>
      <c r="K80" s="4"/>
      <c r="L80" s="4">
        <v>7479.6355526656744</v>
      </c>
      <c r="M80" s="4">
        <v>194.3104063799384</v>
      </c>
      <c r="N80" s="4">
        <v>886832.5228364619</v>
      </c>
      <c r="O80" s="10">
        <f t="shared" si="39"/>
        <v>9947068.4855456837</v>
      </c>
      <c r="P80" s="72"/>
      <c r="Q80" s="107">
        <f t="shared" si="42"/>
        <v>17744.903864811375</v>
      </c>
    </row>
    <row r="81" spans="2:17">
      <c r="B81" s="55" t="s">
        <v>4</v>
      </c>
      <c r="C81" s="56">
        <f t="shared" ref="C81:Q81" si="43">SUM(C46:C80)</f>
        <v>108074419.98352328</v>
      </c>
      <c r="D81" s="56">
        <f t="shared" si="43"/>
        <v>37325873.798235863</v>
      </c>
      <c r="E81" s="56">
        <f t="shared" si="43"/>
        <v>17654221.71695026</v>
      </c>
      <c r="F81" s="56">
        <f t="shared" si="43"/>
        <v>757553.85595547454</v>
      </c>
      <c r="G81" s="56">
        <f t="shared" si="43"/>
        <v>14059121.71438775</v>
      </c>
      <c r="H81" s="56">
        <f t="shared" si="43"/>
        <v>3652654.841713754</v>
      </c>
      <c r="I81" s="56">
        <f t="shared" si="43"/>
        <v>1702633.811844497</v>
      </c>
      <c r="J81" s="56">
        <f t="shared" si="43"/>
        <v>172349.7027111091</v>
      </c>
      <c r="K81" s="56">
        <f t="shared" si="43"/>
        <v>0</v>
      </c>
      <c r="L81" s="56">
        <f t="shared" si="43"/>
        <v>154016.64219495369</v>
      </c>
      <c r="M81" s="56">
        <f t="shared" si="43"/>
        <v>4001.8649211565726</v>
      </c>
      <c r="N81" s="56">
        <f t="shared" si="43"/>
        <v>18258608.890673198</v>
      </c>
      <c r="O81" s="56">
        <f t="shared" si="43"/>
        <v>201815456.82311136</v>
      </c>
      <c r="Q81" s="56">
        <f t="shared" si="43"/>
        <v>353596.15321996069</v>
      </c>
    </row>
    <row r="82" spans="2:17">
      <c r="B82" s="6"/>
      <c r="C82" s="73"/>
      <c r="D82" s="73"/>
      <c r="E82" s="73"/>
      <c r="F82" s="73"/>
      <c r="G82" s="73"/>
      <c r="H82" s="73"/>
      <c r="I82" s="73"/>
      <c r="J82" s="73"/>
      <c r="K82" s="73"/>
      <c r="L82" s="73"/>
      <c r="M82" s="73"/>
      <c r="N82" s="73"/>
    </row>
    <row r="83" spans="2:17">
      <c r="B83" s="893" t="s">
        <v>236</v>
      </c>
      <c r="C83" s="893"/>
      <c r="D83" s="893"/>
      <c r="E83" s="893"/>
      <c r="F83" s="893"/>
      <c r="G83" s="893"/>
      <c r="H83" s="893"/>
      <c r="I83" s="893"/>
      <c r="J83" s="893"/>
      <c r="K83" s="893"/>
      <c r="L83" s="893"/>
      <c r="M83" s="893"/>
      <c r="N83" s="893"/>
      <c r="O83" s="893"/>
    </row>
    <row r="84" spans="2:17">
      <c r="B84" s="893" t="s">
        <v>31</v>
      </c>
      <c r="C84" s="21" t="s">
        <v>32</v>
      </c>
      <c r="D84" s="21" t="s">
        <v>33</v>
      </c>
      <c r="E84" s="21" t="s">
        <v>34</v>
      </c>
      <c r="F84" s="21" t="s">
        <v>35</v>
      </c>
      <c r="G84" s="21" t="s">
        <v>36</v>
      </c>
      <c r="H84" s="21" t="s">
        <v>37</v>
      </c>
      <c r="I84" s="21" t="s">
        <v>38</v>
      </c>
      <c r="J84" s="21" t="s">
        <v>39</v>
      </c>
      <c r="K84" s="21" t="s">
        <v>40</v>
      </c>
      <c r="L84" s="21" t="s">
        <v>240</v>
      </c>
      <c r="M84" s="21" t="s">
        <v>241</v>
      </c>
      <c r="N84" s="21" t="s">
        <v>242</v>
      </c>
      <c r="O84" s="894" t="s">
        <v>42</v>
      </c>
      <c r="Q84" s="896" t="s">
        <v>325</v>
      </c>
    </row>
    <row r="85" spans="2:17">
      <c r="B85" s="893"/>
      <c r="C85" s="71">
        <f>C$45</f>
        <v>1</v>
      </c>
      <c r="D85" s="71">
        <f t="shared" ref="D85:N85" si="44">D$45</f>
        <v>2</v>
      </c>
      <c r="E85" s="71">
        <f t="shared" si="44"/>
        <v>3</v>
      </c>
      <c r="F85" s="71">
        <f t="shared" si="44"/>
        <v>4</v>
      </c>
      <c r="G85" s="71">
        <f t="shared" si="44"/>
        <v>5</v>
      </c>
      <c r="H85" s="71">
        <f t="shared" si="44"/>
        <v>6</v>
      </c>
      <c r="I85" s="71">
        <f t="shared" si="44"/>
        <v>7</v>
      </c>
      <c r="J85" s="71">
        <f t="shared" si="44"/>
        <v>8</v>
      </c>
      <c r="K85" s="71">
        <f t="shared" si="44"/>
        <v>9</v>
      </c>
      <c r="L85" s="71">
        <f t="shared" si="44"/>
        <v>1.5</v>
      </c>
      <c r="M85" s="71">
        <f t="shared" si="44"/>
        <v>2</v>
      </c>
      <c r="N85" s="71">
        <f t="shared" si="44"/>
        <v>0.5</v>
      </c>
      <c r="O85" s="895"/>
      <c r="Q85" s="897" t="s">
        <v>325</v>
      </c>
    </row>
    <row r="86" spans="2:17">
      <c r="B86" s="3">
        <v>1</v>
      </c>
      <c r="C86" s="4">
        <v>337257.11587891605</v>
      </c>
      <c r="D86" s="4">
        <v>60899.913051967662</v>
      </c>
      <c r="E86" s="4">
        <v>51283.255046672595</v>
      </c>
      <c r="F86" s="4">
        <v>580.02851637213359</v>
      </c>
      <c r="G86" s="4">
        <v>9045.9260269703009</v>
      </c>
      <c r="H86" s="4">
        <v>3487.740531147926</v>
      </c>
      <c r="I86" s="4">
        <v>1787.1928374626459</v>
      </c>
      <c r="J86" s="4">
        <v>336.48063104460789</v>
      </c>
      <c r="K86" s="4"/>
      <c r="L86" s="4">
        <v>557.53647086208775</v>
      </c>
      <c r="M86" s="4">
        <v>0</v>
      </c>
      <c r="N86" s="4">
        <v>47037.996254357065</v>
      </c>
      <c r="O86" s="10">
        <f t="shared" ref="O86:O120" si="45">SUM(C86:N86)</f>
        <v>512273.18524577311</v>
      </c>
      <c r="P86" s="72"/>
      <c r="Q86" s="105">
        <f t="shared" ref="Q86:Q91" si="46">SUMPRODUCT($C$45:$N$45,$C86:$N86)/1000</f>
        <v>720.94039225416384</v>
      </c>
    </row>
    <row r="87" spans="2:17">
      <c r="B87" s="3">
        <v>2</v>
      </c>
      <c r="C87" s="74">
        <v>649472.3665270065</v>
      </c>
      <c r="D87" s="74">
        <v>113263.93536206128</v>
      </c>
      <c r="E87" s="74">
        <v>86236.548855964662</v>
      </c>
      <c r="F87" s="74">
        <v>941.44678327857855</v>
      </c>
      <c r="G87" s="74">
        <v>14668.918003382321</v>
      </c>
      <c r="H87" s="74">
        <v>5650.9359195892812</v>
      </c>
      <c r="I87" s="74">
        <v>2897.9291613155228</v>
      </c>
      <c r="J87" s="74">
        <v>544.66470562730615</v>
      </c>
      <c r="K87" s="74"/>
      <c r="L87" s="74">
        <v>1085.3980152329618</v>
      </c>
      <c r="M87" s="74">
        <v>0</v>
      </c>
      <c r="N87" s="74">
        <v>89320.921044319199</v>
      </c>
      <c r="O87" s="10">
        <f t="shared" si="45"/>
        <v>964083.06437777751</v>
      </c>
      <c r="P87" s="72"/>
      <c r="Q87" s="106">
        <f t="shared" si="46"/>
        <v>1316.6572558058208</v>
      </c>
    </row>
    <row r="88" spans="2:17">
      <c r="B88" s="3">
        <v>3</v>
      </c>
      <c r="C88" s="74">
        <v>852603.1777879633</v>
      </c>
      <c r="D88" s="74">
        <v>134860.76891786029</v>
      </c>
      <c r="E88" s="74">
        <v>70192.89521074912</v>
      </c>
      <c r="F88" s="74">
        <v>819.37676812750829</v>
      </c>
      <c r="G88" s="74">
        <v>12778.71936203917</v>
      </c>
      <c r="H88" s="74">
        <v>4926.9535614449387</v>
      </c>
      <c r="I88" s="74">
        <v>2524.6763733961961</v>
      </c>
      <c r="J88" s="74">
        <v>475.32906438336124</v>
      </c>
      <c r="K88" s="74"/>
      <c r="L88" s="74">
        <v>1355.1711774328921</v>
      </c>
      <c r="M88" s="74">
        <v>0</v>
      </c>
      <c r="N88" s="74">
        <v>124762.91802641508</v>
      </c>
      <c r="O88" s="10">
        <f t="shared" si="45"/>
        <v>1205299.9862498122</v>
      </c>
      <c r="P88" s="72"/>
      <c r="Q88" s="106">
        <f t="shared" si="46"/>
        <v>1515.5258094155038</v>
      </c>
    </row>
    <row r="89" spans="2:17">
      <c r="B89" s="3">
        <v>4</v>
      </c>
      <c r="C89" s="4">
        <v>916017.12360744132</v>
      </c>
      <c r="D89" s="4">
        <v>144295.33366975788</v>
      </c>
      <c r="E89" s="4">
        <v>73562.529847994825</v>
      </c>
      <c r="F89" s="4">
        <v>859.95774107507509</v>
      </c>
      <c r="G89" s="4">
        <v>13411.606313325978</v>
      </c>
      <c r="H89" s="4">
        <v>5170.9689850794539</v>
      </c>
      <c r="I89" s="4">
        <v>2649.7150950141959</v>
      </c>
      <c r="J89" s="4">
        <v>498.87051277835843</v>
      </c>
      <c r="K89" s="4"/>
      <c r="L89" s="4">
        <v>1455.9645521946493</v>
      </c>
      <c r="M89" s="4">
        <v>0</v>
      </c>
      <c r="N89" s="4">
        <v>134042.39191312232</v>
      </c>
      <c r="O89" s="10">
        <f t="shared" si="45"/>
        <v>1291964.4622377842</v>
      </c>
      <c r="P89" s="72"/>
      <c r="Q89" s="106">
        <f t="shared" si="46"/>
        <v>1618.5631694845281</v>
      </c>
    </row>
    <row r="90" spans="2:17">
      <c r="B90" s="3">
        <v>5</v>
      </c>
      <c r="C90" s="4">
        <v>981302.81360979006</v>
      </c>
      <c r="D90" s="4">
        <v>154024.32566002346</v>
      </c>
      <c r="E90" s="4">
        <v>77081.035139781176</v>
      </c>
      <c r="F90" s="4">
        <v>902.3475605493278</v>
      </c>
      <c r="G90" s="4">
        <v>14072.703415342767</v>
      </c>
      <c r="H90" s="4">
        <v>5425.8610935107936</v>
      </c>
      <c r="I90" s="4">
        <v>2780.3272625323766</v>
      </c>
      <c r="J90" s="4">
        <v>523.46129203137798</v>
      </c>
      <c r="K90" s="4"/>
      <c r="L90" s="4">
        <v>1559.7329730672304</v>
      </c>
      <c r="M90" s="4">
        <v>0</v>
      </c>
      <c r="N90" s="4">
        <v>143595.76140817086</v>
      </c>
      <c r="O90" s="10">
        <f t="shared" si="45"/>
        <v>1381268.3694147998</v>
      </c>
      <c r="P90" s="72"/>
      <c r="Q90" s="106">
        <f t="shared" si="46"/>
        <v>1724.9101055668202</v>
      </c>
    </row>
    <row r="91" spans="2:17">
      <c r="B91" s="3">
        <v>6</v>
      </c>
      <c r="C91" s="4">
        <v>1049818.2663749948</v>
      </c>
      <c r="D91" s="4">
        <v>164086.35055114573</v>
      </c>
      <c r="E91" s="4">
        <v>80313.206360781827</v>
      </c>
      <c r="F91" s="4">
        <v>941.70006562640901</v>
      </c>
      <c r="G91" s="4">
        <v>14686.431602587374</v>
      </c>
      <c r="H91" s="4">
        <v>5662.489678287965</v>
      </c>
      <c r="I91" s="4">
        <v>2901.5808099439137</v>
      </c>
      <c r="J91" s="4">
        <v>546.29009331918746</v>
      </c>
      <c r="K91" s="4"/>
      <c r="L91" s="4">
        <v>1668.6349443653733</v>
      </c>
      <c r="M91" s="4">
        <v>0</v>
      </c>
      <c r="N91" s="4">
        <v>153621.74775162528</v>
      </c>
      <c r="O91" s="10">
        <f t="shared" si="45"/>
        <v>1474246.6982326778</v>
      </c>
      <c r="P91" s="72"/>
      <c r="Q91" s="106">
        <f t="shared" si="46"/>
        <v>1834.0996956133235</v>
      </c>
    </row>
    <row r="92" spans="2:17">
      <c r="B92" s="3">
        <v>7</v>
      </c>
      <c r="C92" s="4">
        <v>1121143.0536952137</v>
      </c>
      <c r="D92" s="4">
        <v>174256.67253307637</v>
      </c>
      <c r="E92" s="4">
        <v>82733.222498838601</v>
      </c>
      <c r="F92" s="4">
        <v>972.07438790575941</v>
      </c>
      <c r="G92" s="4">
        <v>15160.139126791368</v>
      </c>
      <c r="H92" s="4">
        <v>5845.132000052492</v>
      </c>
      <c r="I92" s="4">
        <v>2995.1706416300667</v>
      </c>
      <c r="J92" s="4">
        <v>563.91055651991564</v>
      </c>
      <c r="K92" s="4"/>
      <c r="L92" s="4">
        <v>1782.0022159531525</v>
      </c>
      <c r="M92" s="4">
        <v>0</v>
      </c>
      <c r="N92" s="4">
        <v>164058.82894662055</v>
      </c>
      <c r="O92" s="10">
        <f t="shared" si="45"/>
        <v>1569510.2066026018</v>
      </c>
      <c r="P92" s="72"/>
      <c r="Q92" s="106">
        <f t="shared" ref="Q92:Q120" si="47">SUMPRODUCT($C$45:$N$45,$C92:$N92)/1000</f>
        <v>1942.7957481845872</v>
      </c>
    </row>
    <row r="93" spans="2:17">
      <c r="B93" s="3">
        <v>8</v>
      </c>
      <c r="C93" s="4">
        <v>1194047.530882678</v>
      </c>
      <c r="D93" s="4">
        <v>184706.64990061399</v>
      </c>
      <c r="E93" s="4">
        <v>85375.590364329531</v>
      </c>
      <c r="F93" s="4">
        <v>1005.0876414462912</v>
      </c>
      <c r="G93" s="4">
        <v>15675.002518862366</v>
      </c>
      <c r="H93" s="4">
        <v>6043.6423477135759</v>
      </c>
      <c r="I93" s="4">
        <v>3096.8915891414181</v>
      </c>
      <c r="J93" s="4">
        <v>583.0618914467434</v>
      </c>
      <c r="K93" s="4"/>
      <c r="L93" s="4">
        <v>1897.8803275578875</v>
      </c>
      <c r="M93" s="4">
        <v>0</v>
      </c>
      <c r="N93" s="4">
        <v>174727.06892984087</v>
      </c>
      <c r="O93" s="10">
        <f t="shared" si="45"/>
        <v>1667158.4063936307</v>
      </c>
      <c r="P93" s="72"/>
      <c r="Q93" s="106">
        <f t="shared" si="47"/>
        <v>2054.7979102350937</v>
      </c>
    </row>
    <row r="94" spans="2:17">
      <c r="B94" s="3">
        <v>9</v>
      </c>
      <c r="C94" s="4">
        <v>1269623.4366032213</v>
      </c>
      <c r="D94" s="4">
        <v>195599.72371953656</v>
      </c>
      <c r="E94" s="4">
        <v>88301.456521969303</v>
      </c>
      <c r="F94" s="4">
        <v>1041.4814180731855</v>
      </c>
      <c r="G94" s="4">
        <v>16242.587390840887</v>
      </c>
      <c r="H94" s="4">
        <v>6262.4799500733316</v>
      </c>
      <c r="I94" s="4">
        <v>3209.028656681855</v>
      </c>
      <c r="J94" s="4">
        <v>604.17430330212437</v>
      </c>
      <c r="K94" s="4"/>
      <c r="L94" s="4">
        <v>2018.0045445548089</v>
      </c>
      <c r="M94" s="4">
        <v>0</v>
      </c>
      <c r="N94" s="4">
        <v>185786.22373459715</v>
      </c>
      <c r="O94" s="10">
        <f t="shared" si="45"/>
        <v>1768688.5968428506</v>
      </c>
      <c r="P94" s="72"/>
      <c r="Q94" s="106">
        <f t="shared" si="47"/>
        <v>2171.8977096424601</v>
      </c>
    </row>
    <row r="95" spans="2:17">
      <c r="B95" s="3">
        <v>10</v>
      </c>
      <c r="C95" s="4">
        <v>1347616.5399146327</v>
      </c>
      <c r="D95" s="4">
        <v>206898.35658087401</v>
      </c>
      <c r="E95" s="4">
        <v>91498.190580212176</v>
      </c>
      <c r="F95" s="4">
        <v>1081.1078650433981</v>
      </c>
      <c r="G95" s="4">
        <v>16860.587881999883</v>
      </c>
      <c r="H95" s="4">
        <v>6500.755761179701</v>
      </c>
      <c r="I95" s="4">
        <v>3331.126278092283</v>
      </c>
      <c r="J95" s="4">
        <v>627.1620211577723</v>
      </c>
      <c r="K95" s="4"/>
      <c r="L95" s="4">
        <v>2141.9707792577906</v>
      </c>
      <c r="M95" s="4">
        <v>0</v>
      </c>
      <c r="N95" s="4">
        <v>197199.09130132734</v>
      </c>
      <c r="O95" s="10">
        <f t="shared" si="45"/>
        <v>1873754.8889637771</v>
      </c>
      <c r="P95" s="72"/>
      <c r="Q95" s="106">
        <f t="shared" si="47"/>
        <v>2293.6874121897272</v>
      </c>
    </row>
    <row r="96" spans="2:17">
      <c r="B96" s="3">
        <v>11</v>
      </c>
      <c r="C96" s="4">
        <v>1427770.1296593437</v>
      </c>
      <c r="D96" s="4">
        <v>218564.52614224964</v>
      </c>
      <c r="E96" s="4">
        <v>94952.671712993135</v>
      </c>
      <c r="F96" s="4">
        <v>1123.812908645853</v>
      </c>
      <c r="G96" s="4">
        <v>17526.601111526175</v>
      </c>
      <c r="H96" s="4">
        <v>6757.543328088158</v>
      </c>
      <c r="I96" s="4">
        <v>3462.7097190706763</v>
      </c>
      <c r="J96" s="4">
        <v>651.93566523654454</v>
      </c>
      <c r="K96" s="4"/>
      <c r="L96" s="4">
        <v>2269.371001799333</v>
      </c>
      <c r="M96" s="4">
        <v>0</v>
      </c>
      <c r="N96" s="4">
        <v>208928.10663620711</v>
      </c>
      <c r="O96" s="10">
        <f t="shared" si="45"/>
        <v>1982007.4078851605</v>
      </c>
      <c r="P96" s="72"/>
      <c r="Q96" s="106">
        <f t="shared" si="47"/>
        <v>2419.7532774197557</v>
      </c>
    </row>
    <row r="97" spans="2:17">
      <c r="B97" s="3">
        <v>12</v>
      </c>
      <c r="C97" s="4">
        <v>1509805.7622172025</v>
      </c>
      <c r="D97" s="4">
        <v>230556.8152207901</v>
      </c>
      <c r="E97" s="4">
        <v>98650.124378557826</v>
      </c>
      <c r="F97" s="4">
        <v>1169.4221968559541</v>
      </c>
      <c r="G97" s="4">
        <v>18237.907944976141</v>
      </c>
      <c r="H97" s="4">
        <v>7031.7942633389321</v>
      </c>
      <c r="I97" s="4">
        <v>3603.2417634616886</v>
      </c>
      <c r="J97" s="4">
        <v>678.39409209875794</v>
      </c>
      <c r="K97" s="4"/>
      <c r="L97" s="4">
        <v>2399.7626396223541</v>
      </c>
      <c r="M97" s="4">
        <v>0</v>
      </c>
      <c r="N97" s="4">
        <v>220932.52459605498</v>
      </c>
      <c r="O97" s="10">
        <f t="shared" si="45"/>
        <v>2093065.7493129594</v>
      </c>
      <c r="P97" s="72"/>
      <c r="Q97" s="106">
        <f t="shared" si="47"/>
        <v>2549.6435112252771</v>
      </c>
    </row>
    <row r="98" spans="2:17">
      <c r="B98" s="3">
        <v>13</v>
      </c>
      <c r="C98" s="4">
        <v>1593431.7404606051</v>
      </c>
      <c r="D98" s="4">
        <v>242831.66310247799</v>
      </c>
      <c r="E98" s="4">
        <v>102574.53735537587</v>
      </c>
      <c r="F98" s="4">
        <v>1217.746145088855</v>
      </c>
      <c r="G98" s="4">
        <v>18991.551686115083</v>
      </c>
      <c r="H98" s="4">
        <v>7322.3685853242514</v>
      </c>
      <c r="I98" s="4">
        <v>3752.1382603096936</v>
      </c>
      <c r="J98" s="4">
        <v>706.42732173662864</v>
      </c>
      <c r="K98" s="4"/>
      <c r="L98" s="4">
        <v>2532.6820543659314</v>
      </c>
      <c r="M98" s="4">
        <v>0</v>
      </c>
      <c r="N98" s="4">
        <v>233169.66062870438</v>
      </c>
      <c r="O98" s="10">
        <f t="shared" si="45"/>
        <v>2206530.5156001039</v>
      </c>
      <c r="P98" s="72"/>
      <c r="Q98" s="106">
        <f t="shared" si="47"/>
        <v>2682.8818730465273</v>
      </c>
    </row>
    <row r="99" spans="2:17">
      <c r="B99" s="3">
        <v>14</v>
      </c>
      <c r="C99" s="4">
        <v>1678371.967825708</v>
      </c>
      <c r="D99" s="4">
        <v>255347.71167489784</v>
      </c>
      <c r="E99" s="4">
        <v>106710.36201635862</v>
      </c>
      <c r="F99" s="4">
        <v>1268.6004510805981</v>
      </c>
      <c r="G99" s="4">
        <v>19784.658019975188</v>
      </c>
      <c r="H99" s="4">
        <v>7628.1580752965101</v>
      </c>
      <c r="I99" s="4">
        <v>3908.8313346278992</v>
      </c>
      <c r="J99" s="4">
        <v>735.92843847217046</v>
      </c>
      <c r="K99" s="4"/>
      <c r="L99" s="4">
        <v>2667.6904040045383</v>
      </c>
      <c r="M99" s="4">
        <v>0</v>
      </c>
      <c r="N99" s="4">
        <v>245599.11303983879</v>
      </c>
      <c r="O99" s="10">
        <f t="shared" si="45"/>
        <v>2322023.0212802603</v>
      </c>
      <c r="P99" s="72"/>
      <c r="Q99" s="106">
        <f t="shared" si="47"/>
        <v>2819.0154565566554</v>
      </c>
    </row>
    <row r="100" spans="2:17">
      <c r="B100" s="3">
        <v>15</v>
      </c>
      <c r="C100" s="4">
        <v>1764351.1752341837</v>
      </c>
      <c r="D100" s="4">
        <v>268063.57422392489</v>
      </c>
      <c r="E100" s="4">
        <v>111041.62416950088</v>
      </c>
      <c r="F100" s="4">
        <v>1321.7953738220983</v>
      </c>
      <c r="G100" s="4">
        <v>20614.267810782934</v>
      </c>
      <c r="H100" s="4">
        <v>7948.0218110611513</v>
      </c>
      <c r="I100" s="4">
        <v>4072.7363534838914</v>
      </c>
      <c r="J100" s="4">
        <v>766.7873715542562</v>
      </c>
      <c r="K100" s="4"/>
      <c r="L100" s="4">
        <v>2804.350161760528</v>
      </c>
      <c r="M100" s="4">
        <v>0</v>
      </c>
      <c r="N100" s="4">
        <v>258180.60122254823</v>
      </c>
      <c r="O100" s="10">
        <f t="shared" si="45"/>
        <v>2439164.9337326228</v>
      </c>
      <c r="P100" s="72"/>
      <c r="Q100" s="106">
        <f t="shared" si="47"/>
        <v>2957.5901269068427</v>
      </c>
    </row>
    <row r="101" spans="2:17">
      <c r="B101" s="3">
        <v>16</v>
      </c>
      <c r="C101" s="4">
        <v>1851080.7457133525</v>
      </c>
      <c r="D101" s="4">
        <v>280935.69160186569</v>
      </c>
      <c r="E101" s="4">
        <v>115551.06285082021</v>
      </c>
      <c r="F101" s="4">
        <v>1377.12533510307</v>
      </c>
      <c r="G101" s="4">
        <v>21477.174931200585</v>
      </c>
      <c r="H101" s="4">
        <v>8280.7236405392778</v>
      </c>
      <c r="I101" s="4">
        <v>4243.219886115925</v>
      </c>
      <c r="J101" s="4">
        <v>798.88486290509604</v>
      </c>
      <c r="K101" s="4"/>
      <c r="L101" s="4">
        <v>2942.2025850290402</v>
      </c>
      <c r="M101" s="4">
        <v>0</v>
      </c>
      <c r="N101" s="4">
        <v>270871.89134913712</v>
      </c>
      <c r="O101" s="10">
        <f t="shared" si="45"/>
        <v>2557558.7227560682</v>
      </c>
      <c r="P101" s="72"/>
      <c r="Q101" s="106">
        <f t="shared" si="47"/>
        <v>3098.1269029673599</v>
      </c>
    </row>
    <row r="102" spans="2:17">
      <c r="B102" s="3">
        <v>17</v>
      </c>
      <c r="C102" s="4">
        <v>1938379.4811565806</v>
      </c>
      <c r="D102" s="4">
        <v>293936.70106111589</v>
      </c>
      <c r="E102" s="4">
        <v>120227.79089630925</v>
      </c>
      <c r="F102" s="4">
        <v>1434.4615865512551</v>
      </c>
      <c r="G102" s="4">
        <v>22371.371465722841</v>
      </c>
      <c r="H102" s="4">
        <v>8625.4893933175808</v>
      </c>
      <c r="I102" s="4">
        <v>4419.8852310477077</v>
      </c>
      <c r="J102" s="4">
        <v>832.14622424244067</v>
      </c>
      <c r="K102" s="4"/>
      <c r="L102" s="4">
        <v>3080.9596682549518</v>
      </c>
      <c r="M102" s="4">
        <v>0</v>
      </c>
      <c r="N102" s="4">
        <v>283646.46838293492</v>
      </c>
      <c r="O102" s="10">
        <f t="shared" si="45"/>
        <v>2676954.7550660782</v>
      </c>
      <c r="P102" s="72"/>
      <c r="Q102" s="106">
        <f t="shared" si="47"/>
        <v>3240.3249361075891</v>
      </c>
    </row>
    <row r="103" spans="2:17">
      <c r="B103" s="3">
        <v>18</v>
      </c>
      <c r="C103" s="4">
        <v>2026203.3510081782</v>
      </c>
      <c r="D103" s="4">
        <v>307060.1133617633</v>
      </c>
      <c r="E103" s="4">
        <v>125069.65360837046</v>
      </c>
      <c r="F103" s="4">
        <v>1493.7808742062439</v>
      </c>
      <c r="G103" s="4">
        <v>23296.494753549836</v>
      </c>
      <c r="H103" s="4">
        <v>8982.1792421669998</v>
      </c>
      <c r="I103" s="4">
        <v>4602.6607378166982</v>
      </c>
      <c r="J103" s="4">
        <v>866.55796569975473</v>
      </c>
      <c r="K103" s="4"/>
      <c r="L103" s="4">
        <v>3220.5514270169642</v>
      </c>
      <c r="M103" s="4">
        <v>0</v>
      </c>
      <c r="N103" s="4">
        <v>296497.889255521</v>
      </c>
      <c r="O103" s="10">
        <f t="shared" si="45"/>
        <v>2797293.2322342894</v>
      </c>
      <c r="P103" s="72"/>
      <c r="Q103" s="106">
        <f t="shared" si="47"/>
        <v>3384.1140719329928</v>
      </c>
    </row>
    <row r="104" spans="2:17">
      <c r="B104" s="3">
        <v>19</v>
      </c>
      <c r="C104" s="4">
        <v>2114534.7366603026</v>
      </c>
      <c r="D104" s="4">
        <v>320303.5743548756</v>
      </c>
      <c r="E104" s="4">
        <v>130076.53676000756</v>
      </c>
      <c r="F104" s="4">
        <v>1555.0845919710091</v>
      </c>
      <c r="G104" s="4">
        <v>24252.566533514779</v>
      </c>
      <c r="H104" s="4">
        <v>9350.801568695937</v>
      </c>
      <c r="I104" s="4">
        <v>4791.5507013382976</v>
      </c>
      <c r="J104" s="4">
        <v>902.12089589478433</v>
      </c>
      <c r="K104" s="4"/>
      <c r="L104" s="4">
        <v>3360.9498573970091</v>
      </c>
      <c r="M104" s="4">
        <v>0</v>
      </c>
      <c r="N104" s="4">
        <v>309423.5758051158</v>
      </c>
      <c r="O104" s="10">
        <f t="shared" si="45"/>
        <v>2918551.4977291133</v>
      </c>
      <c r="P104" s="72"/>
      <c r="Q104" s="106">
        <f t="shared" si="47"/>
        <v>3529.4705108628891</v>
      </c>
    </row>
    <row r="105" spans="2:17">
      <c r="B105" s="3">
        <v>20</v>
      </c>
      <c r="C105" s="4">
        <v>2203291.4815419866</v>
      </c>
      <c r="D105" s="4">
        <v>333735.47946214757</v>
      </c>
      <c r="E105" s="4">
        <v>135494.33144679881</v>
      </c>
      <c r="F105" s="4">
        <v>1621.1446673131281</v>
      </c>
      <c r="G105" s="4">
        <v>25282.816836755912</v>
      </c>
      <c r="H105" s="4">
        <v>9748.0241116537654</v>
      </c>
      <c r="I105" s="4">
        <v>4995.0960274062518</v>
      </c>
      <c r="J105" s="4">
        <v>940.44303904905223</v>
      </c>
      <c r="K105" s="4"/>
      <c r="L105" s="4">
        <v>3502.0243755315587</v>
      </c>
      <c r="M105" s="4">
        <v>0</v>
      </c>
      <c r="N105" s="4">
        <v>322411.50591663003</v>
      </c>
      <c r="O105" s="10">
        <f t="shared" si="45"/>
        <v>3041022.3474252722</v>
      </c>
      <c r="P105" s="72"/>
      <c r="Q105" s="106">
        <f t="shared" si="47"/>
        <v>3677.5802483554812</v>
      </c>
    </row>
    <row r="106" spans="2:17">
      <c r="B106" s="3">
        <v>21</v>
      </c>
      <c r="C106" s="4">
        <v>2292310.4058195027</v>
      </c>
      <c r="D106" s="4">
        <v>347411.17703366344</v>
      </c>
      <c r="E106" s="4">
        <v>141561.54454205299</v>
      </c>
      <c r="F106" s="4">
        <v>1694.6452562863028</v>
      </c>
      <c r="G106" s="4">
        <v>26429.106841510638</v>
      </c>
      <c r="H106" s="4">
        <v>10189.986835880442</v>
      </c>
      <c r="I106" s="4">
        <v>5221.5671791760833</v>
      </c>
      <c r="J106" s="4">
        <v>983.08150226553482</v>
      </c>
      <c r="K106" s="4"/>
      <c r="L106" s="4">
        <v>3643.5156150316916</v>
      </c>
      <c r="M106" s="4">
        <v>0</v>
      </c>
      <c r="N106" s="4">
        <v>335437.80119886203</v>
      </c>
      <c r="O106" s="10">
        <f t="shared" si="45"/>
        <v>3164882.8318242319</v>
      </c>
      <c r="P106" s="72"/>
      <c r="Q106" s="106">
        <f t="shared" si="47"/>
        <v>3829.4812260553044</v>
      </c>
    </row>
    <row r="107" spans="2:17">
      <c r="B107" s="3">
        <v>22</v>
      </c>
      <c r="C107" s="4">
        <v>2381406.5601749611</v>
      </c>
      <c r="D107" s="4">
        <v>361130.42317577137</v>
      </c>
      <c r="E107" s="4">
        <v>147732.151050466</v>
      </c>
      <c r="F107" s="4">
        <v>1769.4231307430273</v>
      </c>
      <c r="G107" s="4">
        <v>27595.316953076275</v>
      </c>
      <c r="H107" s="4">
        <v>10639.629941717812</v>
      </c>
      <c r="I107" s="4">
        <v>5451.9739227369391</v>
      </c>
      <c r="J107" s="4">
        <v>1026.4609321989938</v>
      </c>
      <c r="K107" s="4"/>
      <c r="L107" s="4">
        <v>3785.1296079749081</v>
      </c>
      <c r="M107" s="4">
        <v>0</v>
      </c>
      <c r="N107" s="4">
        <v>348475.39769382059</v>
      </c>
      <c r="O107" s="10">
        <f t="shared" si="45"/>
        <v>3289012.4665834671</v>
      </c>
      <c r="P107" s="72"/>
      <c r="Q107" s="106">
        <f t="shared" si="47"/>
        <v>3982.0468147921847</v>
      </c>
    </row>
    <row r="108" spans="2:17">
      <c r="B108" s="3">
        <v>23</v>
      </c>
      <c r="C108" s="4">
        <v>2470413.2120550121</v>
      </c>
      <c r="D108" s="4">
        <v>374868.70758441428</v>
      </c>
      <c r="E108" s="4">
        <v>153998.20722929901</v>
      </c>
      <c r="F108" s="4">
        <v>1845.3829192606327</v>
      </c>
      <c r="G108" s="4">
        <v>28779.959791418594</v>
      </c>
      <c r="H108" s="4">
        <v>11096.379956022809</v>
      </c>
      <c r="I108" s="4">
        <v>5686.0223981859381</v>
      </c>
      <c r="J108" s="4">
        <v>1070.5260028860025</v>
      </c>
      <c r="K108" s="4"/>
      <c r="L108" s="4">
        <v>3926.6013410976839</v>
      </c>
      <c r="M108" s="4">
        <v>0</v>
      </c>
      <c r="N108" s="4">
        <v>361499.8971346122</v>
      </c>
      <c r="O108" s="10">
        <f t="shared" si="45"/>
        <v>3413184.8964122091</v>
      </c>
      <c r="P108" s="72"/>
      <c r="Q108" s="106">
        <f t="shared" si="47"/>
        <v>4135.0110746713526</v>
      </c>
    </row>
    <row r="109" spans="2:17">
      <c r="B109" s="3">
        <v>24</v>
      </c>
      <c r="C109" s="4">
        <v>2559140.8441085261</v>
      </c>
      <c r="D109" s="4">
        <v>388597.93048513483</v>
      </c>
      <c r="E109" s="4">
        <v>160349.94040791402</v>
      </c>
      <c r="F109" s="4">
        <v>1922.4070244940826</v>
      </c>
      <c r="G109" s="4">
        <v>29981.201348632556</v>
      </c>
      <c r="H109" s="4">
        <v>11559.529760067537</v>
      </c>
      <c r="I109" s="4">
        <v>5923.3502627643666</v>
      </c>
      <c r="J109" s="4">
        <v>1115.2084948722579</v>
      </c>
      <c r="K109" s="4"/>
      <c r="L109" s="4">
        <v>4067.6295858114231</v>
      </c>
      <c r="M109" s="4">
        <v>0</v>
      </c>
      <c r="N109" s="4">
        <v>374483.56711493153</v>
      </c>
      <c r="O109" s="10">
        <f t="shared" si="45"/>
        <v>3537141.6085931486</v>
      </c>
      <c r="P109" s="72"/>
      <c r="Q109" s="106">
        <f t="shared" si="47"/>
        <v>4288.0676874385945</v>
      </c>
    </row>
    <row r="110" spans="2:17">
      <c r="B110" s="3">
        <v>25</v>
      </c>
      <c r="C110" s="4">
        <v>2647386.7242247015</v>
      </c>
      <c r="D110" s="4">
        <v>402287.84543770447</v>
      </c>
      <c r="E110" s="4">
        <v>166776.31635410173</v>
      </c>
      <c r="F110" s="4">
        <v>2000.3624750726513</v>
      </c>
      <c r="G110" s="4">
        <v>31196.96784877553</v>
      </c>
      <c r="H110" s="4">
        <v>12028.279790337318</v>
      </c>
      <c r="I110" s="4">
        <v>6163.5478030277227</v>
      </c>
      <c r="J110" s="4">
        <v>1160.4312700697703</v>
      </c>
      <c r="K110" s="4"/>
      <c r="L110" s="4">
        <v>4207.8921093113995</v>
      </c>
      <c r="M110" s="4">
        <v>0</v>
      </c>
      <c r="N110" s="4">
        <v>387396.7414895189</v>
      </c>
      <c r="O110" s="10">
        <f t="shared" si="45"/>
        <v>3660605.1088026203</v>
      </c>
      <c r="P110" s="72"/>
      <c r="Q110" s="106">
        <f t="shared" si="47"/>
        <v>4440.8858257390866</v>
      </c>
    </row>
    <row r="111" spans="2:17">
      <c r="B111" s="3">
        <v>26</v>
      </c>
      <c r="C111" s="4">
        <v>2734922.5784182698</v>
      </c>
      <c r="D111" s="4">
        <v>415904.11372748693</v>
      </c>
      <c r="E111" s="4">
        <v>173264.0385685208</v>
      </c>
      <c r="F111" s="4">
        <v>2079.0887621934608</v>
      </c>
      <c r="G111" s="4">
        <v>32424.756051547207</v>
      </c>
      <c r="H111" s="4">
        <v>12501.664899358188</v>
      </c>
      <c r="I111" s="4">
        <v>6406.1204567695768</v>
      </c>
      <c r="J111" s="4">
        <v>1206.1012156370907</v>
      </c>
      <c r="K111" s="4"/>
      <c r="L111" s="4">
        <v>4347.0260812288643</v>
      </c>
      <c r="M111" s="4">
        <v>0</v>
      </c>
      <c r="N111" s="4">
        <v>400206.01652583631</v>
      </c>
      <c r="O111" s="10">
        <f t="shared" si="45"/>
        <v>3783261.5047068484</v>
      </c>
      <c r="P111" s="72"/>
      <c r="Q111" s="106">
        <f t="shared" si="47"/>
        <v>4593.0882465887098</v>
      </c>
    </row>
    <row r="112" spans="2:17">
      <c r="B112" s="3">
        <v>27</v>
      </c>
      <c r="C112" s="4">
        <v>2821490.0928493124</v>
      </c>
      <c r="D112" s="4">
        <v>429407.55527553894</v>
      </c>
      <c r="E112" s="4">
        <v>179797.06183845655</v>
      </c>
      <c r="F112" s="4">
        <v>2158.3919012761967</v>
      </c>
      <c r="G112" s="4">
        <v>33661.540639890984</v>
      </c>
      <c r="H112" s="4">
        <v>12978.51864812916</v>
      </c>
      <c r="I112" s="4">
        <v>6650.4705157001927</v>
      </c>
      <c r="J112" s="4">
        <v>1252.1057990828763</v>
      </c>
      <c r="K112" s="4"/>
      <c r="L112" s="4">
        <v>4484.6209243108706</v>
      </c>
      <c r="M112" s="4">
        <v>0</v>
      </c>
      <c r="N112" s="4">
        <v>412873.5927067413</v>
      </c>
      <c r="O112" s="10">
        <f t="shared" si="45"/>
        <v>3904753.9510984384</v>
      </c>
      <c r="P112" s="72"/>
      <c r="Q112" s="106">
        <f t="shared" si="47"/>
        <v>4744.2426393514952</v>
      </c>
    </row>
    <row r="113" spans="2:17">
      <c r="B113" s="3">
        <v>28</v>
      </c>
      <c r="C113" s="4">
        <v>2906812.8726894432</v>
      </c>
      <c r="D113" s="4">
        <v>442755.94252096681</v>
      </c>
      <c r="E113" s="4">
        <v>186357.27314135194</v>
      </c>
      <c r="F113" s="4">
        <v>2238.0526468717308</v>
      </c>
      <c r="G113" s="4">
        <v>34903.902336894469</v>
      </c>
      <c r="H113" s="4">
        <v>13457.522702779386</v>
      </c>
      <c r="I113" s="4">
        <v>6895.9224373500783</v>
      </c>
      <c r="J113" s="4">
        <v>1298.3178338206171</v>
      </c>
      <c r="K113" s="4"/>
      <c r="L113" s="4">
        <v>4620.2373224549474</v>
      </c>
      <c r="M113" s="4">
        <v>0</v>
      </c>
      <c r="N113" s="4">
        <v>425359.02469234366</v>
      </c>
      <c r="O113" s="10">
        <f t="shared" si="45"/>
        <v>4024699.0683242767</v>
      </c>
      <c r="P113" s="72"/>
      <c r="Q113" s="106">
        <f t="shared" si="47"/>
        <v>4893.8813037059372</v>
      </c>
    </row>
    <row r="114" spans="2:17">
      <c r="B114" s="3">
        <v>29</v>
      </c>
      <c r="C114" s="4">
        <v>2990577.3690413409</v>
      </c>
      <c r="D114" s="4">
        <v>455900.96209549363</v>
      </c>
      <c r="E114" s="4">
        <v>192922.85661793646</v>
      </c>
      <c r="F114" s="4">
        <v>2317.8066008400883</v>
      </c>
      <c r="G114" s="4">
        <v>36147.717679747882</v>
      </c>
      <c r="H114" s="4">
        <v>13937.08722404559</v>
      </c>
      <c r="I114" s="4">
        <v>7141.6615540802077</v>
      </c>
      <c r="J114" s="4">
        <v>1344.5839397138639</v>
      </c>
      <c r="K114" s="4"/>
      <c r="L114" s="4">
        <v>4753.3769049777156</v>
      </c>
      <c r="M114" s="4">
        <v>0</v>
      </c>
      <c r="N114" s="4">
        <v>437616.4303226975</v>
      </c>
      <c r="O114" s="10">
        <f t="shared" si="45"/>
        <v>4142659.8519808738</v>
      </c>
      <c r="P114" s="72"/>
      <c r="Q114" s="106">
        <f t="shared" si="47"/>
        <v>5041.4667841475984</v>
      </c>
    </row>
    <row r="115" spans="2:17">
      <c r="B115" s="3">
        <v>30</v>
      </c>
      <c r="C115" s="4">
        <v>3072462.8280649888</v>
      </c>
      <c r="D115" s="4">
        <v>468792.8270849695</v>
      </c>
      <c r="E115" s="4">
        <v>199470.36970711412</v>
      </c>
      <c r="F115" s="4">
        <v>2397.3693722594508</v>
      </c>
      <c r="G115" s="4">
        <v>37388.551405065184</v>
      </c>
      <c r="H115" s="4">
        <v>14415.502155065526</v>
      </c>
      <c r="I115" s="4">
        <v>7386.8115961828516</v>
      </c>
      <c r="J115" s="4">
        <v>1390.7391386035492</v>
      </c>
      <c r="K115" s="4"/>
      <c r="L115" s="4">
        <v>4883.5298492906986</v>
      </c>
      <c r="M115" s="4">
        <v>0</v>
      </c>
      <c r="N115" s="4">
        <v>449598.87312595849</v>
      </c>
      <c r="O115" s="10">
        <f t="shared" si="45"/>
        <v>4258187.4014994977</v>
      </c>
      <c r="P115" s="72"/>
      <c r="Q115" s="106">
        <f t="shared" si="47"/>
        <v>5186.4431644200504</v>
      </c>
    </row>
    <row r="116" spans="2:17">
      <c r="B116" s="3">
        <v>31</v>
      </c>
      <c r="C116" s="4">
        <v>3152148.5110445027</v>
      </c>
      <c r="D116" s="4">
        <v>481381.36330014654</v>
      </c>
      <c r="E116" s="4">
        <v>205975.16423682243</v>
      </c>
      <c r="F116" s="4">
        <v>2476.4416607862304</v>
      </c>
      <c r="G116" s="4">
        <v>38621.735727226333</v>
      </c>
      <c r="H116" s="4">
        <v>14890.96778787682</v>
      </c>
      <c r="I116" s="4">
        <v>7630.4503548092889</v>
      </c>
      <c r="J116" s="4">
        <v>1436.6098032185323</v>
      </c>
      <c r="K116" s="4"/>
      <c r="L116" s="4">
        <v>5010.1863568444942</v>
      </c>
      <c r="M116" s="4">
        <v>0</v>
      </c>
      <c r="N116" s="4">
        <v>461259.41884342278</v>
      </c>
      <c r="O116" s="10">
        <f t="shared" si="45"/>
        <v>4370830.8491156558</v>
      </c>
      <c r="P116" s="72"/>
      <c r="Q116" s="106">
        <f t="shared" si="47"/>
        <v>5328.2480022281925</v>
      </c>
    </row>
    <row r="117" spans="2:17">
      <c r="B117" s="3">
        <v>32</v>
      </c>
      <c r="C117" s="4">
        <v>3229304.8702828502</v>
      </c>
      <c r="D117" s="4">
        <v>493614.58224611089</v>
      </c>
      <c r="E117" s="4">
        <v>212410.56383445126</v>
      </c>
      <c r="F117" s="4">
        <v>2554.6992357293825</v>
      </c>
      <c r="G117" s="4">
        <v>39842.214055453311</v>
      </c>
      <c r="H117" s="4">
        <v>15361.534507088718</v>
      </c>
      <c r="I117" s="4">
        <v>7871.5788053385495</v>
      </c>
      <c r="J117" s="4">
        <v>1482.0078439314107</v>
      </c>
      <c r="K117" s="4"/>
      <c r="L117" s="4">
        <v>5132.822627643699</v>
      </c>
      <c r="M117" s="4">
        <v>0</v>
      </c>
      <c r="N117" s="4">
        <v>472549.84418272949</v>
      </c>
      <c r="O117" s="10">
        <f t="shared" si="45"/>
        <v>4480124.7176213264</v>
      </c>
      <c r="P117" s="72"/>
      <c r="Q117" s="106">
        <f t="shared" si="47"/>
        <v>5466.2960709627932</v>
      </c>
    </row>
    <row r="118" spans="2:17">
      <c r="B118" s="3">
        <v>33</v>
      </c>
      <c r="C118" s="4">
        <v>3303631.6619720962</v>
      </c>
      <c r="D118" s="4">
        <v>505444.67529777432</v>
      </c>
      <c r="E118" s="4">
        <v>218750.89211357944</v>
      </c>
      <c r="F118" s="4">
        <v>2631.8297292233592</v>
      </c>
      <c r="G118" s="4">
        <v>41045.114807530452</v>
      </c>
      <c r="H118" s="4">
        <v>15825.324029074545</v>
      </c>
      <c r="I118" s="4">
        <v>8109.2344750710945</v>
      </c>
      <c r="J118" s="4">
        <v>1526.7520528643799</v>
      </c>
      <c r="K118" s="4"/>
      <c r="L118" s="4">
        <v>5250.9614387957445</v>
      </c>
      <c r="M118" s="4">
        <v>0</v>
      </c>
      <c r="N118" s="4">
        <v>483426.21394099249</v>
      </c>
      <c r="O118" s="10">
        <f t="shared" si="45"/>
        <v>4585642.6598570012</v>
      </c>
      <c r="P118" s="72"/>
      <c r="Q118" s="106">
        <f t="shared" si="47"/>
        <v>5600.0467329144794</v>
      </c>
    </row>
    <row r="119" spans="2:17">
      <c r="B119" s="3">
        <v>34</v>
      </c>
      <c r="C119" s="4">
        <v>3374944.3782915911</v>
      </c>
      <c r="D119" s="4">
        <v>516841.88382521411</v>
      </c>
      <c r="E119" s="4">
        <v>224979.19657082084</v>
      </c>
      <c r="F119" s="4">
        <v>2707.6266686061285</v>
      </c>
      <c r="G119" s="4">
        <v>42227.217906557016</v>
      </c>
      <c r="H119" s="4">
        <v>16281.094823372252</v>
      </c>
      <c r="I119" s="4">
        <v>8342.781177246623</v>
      </c>
      <c r="J119" s="4">
        <v>1570.7226530588046</v>
      </c>
      <c r="K119" s="4"/>
      <c r="L119" s="4">
        <v>5364.3095241164647</v>
      </c>
      <c r="M119" s="4">
        <v>0</v>
      </c>
      <c r="N119" s="4">
        <v>493861.52876528545</v>
      </c>
      <c r="O119" s="10">
        <f t="shared" si="45"/>
        <v>4687120.7402058681</v>
      </c>
      <c r="P119" s="72"/>
      <c r="Q119" s="106">
        <f t="shared" si="47"/>
        <v>5729.1613789359399</v>
      </c>
    </row>
    <row r="120" spans="2:17">
      <c r="B120" s="3">
        <v>35</v>
      </c>
      <c r="C120" s="4">
        <v>3421451.730458444</v>
      </c>
      <c r="D120" s="4">
        <v>524296.54429402307</v>
      </c>
      <c r="E120" s="4">
        <v>229108.72085503375</v>
      </c>
      <c r="F120" s="4">
        <v>2757.8952794892189</v>
      </c>
      <c r="G120" s="4">
        <v>43011.189940158292</v>
      </c>
      <c r="H120" s="4">
        <v>16583.36249931006</v>
      </c>
      <c r="I120" s="4">
        <v>8497.6695987355688</v>
      </c>
      <c r="J120" s="4">
        <v>1599.884001913636</v>
      </c>
      <c r="K120" s="4"/>
      <c r="L120" s="4">
        <v>5438.2306926473593</v>
      </c>
      <c r="M120" s="4">
        <v>0</v>
      </c>
      <c r="N120" s="4">
        <v>500667.03115746833</v>
      </c>
      <c r="O120" s="10">
        <f t="shared" si="45"/>
        <v>4753412.2587772235</v>
      </c>
      <c r="P120" s="72"/>
      <c r="Q120" s="107">
        <f t="shared" si="47"/>
        <v>5813.7323082503617</v>
      </c>
    </row>
    <row r="121" spans="2:17">
      <c r="B121" s="55" t="s">
        <v>4</v>
      </c>
      <c r="C121" s="56">
        <f t="shared" ref="C121:O121" si="48">SUM(C86:C120)</f>
        <v>71184526.635854825</v>
      </c>
      <c r="D121" s="56">
        <f t="shared" si="48"/>
        <v>10892864.413537443</v>
      </c>
      <c r="E121" s="56">
        <f t="shared" si="48"/>
        <v>4720380.9226903087</v>
      </c>
      <c r="F121" s="56">
        <f t="shared" si="48"/>
        <v>56279.005541267681</v>
      </c>
      <c r="G121" s="56">
        <f t="shared" si="48"/>
        <v>877694.52606974659</v>
      </c>
      <c r="H121" s="56">
        <f t="shared" si="48"/>
        <v>338398.44940768817</v>
      </c>
      <c r="I121" s="56">
        <f t="shared" si="48"/>
        <v>173404.87125706431</v>
      </c>
      <c r="J121" s="56">
        <f t="shared" si="48"/>
        <v>32646.563432637558</v>
      </c>
      <c r="K121" s="56">
        <f t="shared" si="48"/>
        <v>0</v>
      </c>
      <c r="L121" s="56">
        <f t="shared" si="48"/>
        <v>113218.91015679903</v>
      </c>
      <c r="M121" s="56">
        <f t="shared" si="48"/>
        <v>0</v>
      </c>
      <c r="N121" s="56">
        <f t="shared" si="48"/>
        <v>10408525.66503831</v>
      </c>
      <c r="O121" s="56">
        <f t="shared" si="48"/>
        <v>98797939.962986112</v>
      </c>
      <c r="Q121" s="56">
        <f>SUM(Q86:Q120)</f>
        <v>120624.47538397548</v>
      </c>
    </row>
    <row r="122" spans="2:17">
      <c r="B122" s="6"/>
    </row>
    <row r="123" spans="2:17">
      <c r="B123" s="893" t="s">
        <v>237</v>
      </c>
      <c r="C123" s="893"/>
      <c r="D123" s="893"/>
      <c r="E123" s="893"/>
      <c r="F123" s="893"/>
      <c r="G123" s="893"/>
      <c r="H123" s="893"/>
      <c r="I123" s="893"/>
      <c r="J123" s="893"/>
      <c r="K123" s="893"/>
      <c r="L123" s="893"/>
      <c r="M123" s="893"/>
      <c r="N123" s="893"/>
      <c r="O123" s="893"/>
    </row>
    <row r="124" spans="2:17">
      <c r="B124" s="893" t="s">
        <v>31</v>
      </c>
      <c r="C124" s="21" t="s">
        <v>32</v>
      </c>
      <c r="D124" s="21" t="s">
        <v>33</v>
      </c>
      <c r="E124" s="21" t="s">
        <v>34</v>
      </c>
      <c r="F124" s="21" t="s">
        <v>35</v>
      </c>
      <c r="G124" s="21" t="s">
        <v>36</v>
      </c>
      <c r="H124" s="21" t="s">
        <v>37</v>
      </c>
      <c r="I124" s="21" t="s">
        <v>38</v>
      </c>
      <c r="J124" s="21" t="s">
        <v>39</v>
      </c>
      <c r="K124" s="21" t="s">
        <v>40</v>
      </c>
      <c r="L124" s="21" t="s">
        <v>240</v>
      </c>
      <c r="M124" s="21" t="s">
        <v>241</v>
      </c>
      <c r="N124" s="21" t="s">
        <v>242</v>
      </c>
      <c r="O124" s="894" t="s">
        <v>42</v>
      </c>
      <c r="Q124" s="896" t="s">
        <v>325</v>
      </c>
    </row>
    <row r="125" spans="2:17">
      <c r="B125" s="893"/>
      <c r="C125" s="71">
        <f>C$45</f>
        <v>1</v>
      </c>
      <c r="D125" s="71">
        <f t="shared" ref="D125:N125" si="49">D$45</f>
        <v>2</v>
      </c>
      <c r="E125" s="71">
        <f t="shared" si="49"/>
        <v>3</v>
      </c>
      <c r="F125" s="71">
        <f t="shared" si="49"/>
        <v>4</v>
      </c>
      <c r="G125" s="71">
        <f t="shared" si="49"/>
        <v>5</v>
      </c>
      <c r="H125" s="71">
        <f t="shared" si="49"/>
        <v>6</v>
      </c>
      <c r="I125" s="71">
        <f t="shared" si="49"/>
        <v>7</v>
      </c>
      <c r="J125" s="71">
        <f t="shared" si="49"/>
        <v>8</v>
      </c>
      <c r="K125" s="71">
        <f t="shared" si="49"/>
        <v>9</v>
      </c>
      <c r="L125" s="71">
        <f t="shared" si="49"/>
        <v>1.5</v>
      </c>
      <c r="M125" s="71">
        <f t="shared" si="49"/>
        <v>2</v>
      </c>
      <c r="N125" s="71">
        <f t="shared" si="49"/>
        <v>0.5</v>
      </c>
      <c r="O125" s="895"/>
      <c r="Q125" s="897" t="s">
        <v>325</v>
      </c>
    </row>
    <row r="126" spans="2:17">
      <c r="B126" s="3">
        <v>1</v>
      </c>
      <c r="C126" s="4">
        <v>291465.35123058286</v>
      </c>
      <c r="D126" s="4">
        <v>117998.35904778072</v>
      </c>
      <c r="E126" s="4">
        <v>88967.051926154993</v>
      </c>
      <c r="F126" s="4">
        <v>3835.9146015024089</v>
      </c>
      <c r="G126" s="4">
        <v>69223.710918186931</v>
      </c>
      <c r="H126" s="4">
        <v>20513.479712132037</v>
      </c>
      <c r="I126" s="4">
        <v>8775.6177190938888</v>
      </c>
      <c r="J126" s="4">
        <v>845.72337330811251</v>
      </c>
      <c r="K126" s="4"/>
      <c r="L126" s="4">
        <v>439.74331658323058</v>
      </c>
      <c r="M126" s="4">
        <v>32.227914548680658</v>
      </c>
      <c r="N126" s="4">
        <v>54330.893179322331</v>
      </c>
      <c r="O126" s="10">
        <f t="shared" ref="O126:O160" si="50">SUM(C126:N126)</f>
        <v>656428.07293919625</v>
      </c>
      <c r="P126" s="72"/>
      <c r="Q126" s="105">
        <f t="shared" ref="Q126:Q131" si="51">SUMPRODUCT($C$45:$N$45,$C126:$N126)/1000</f>
        <v>1374.9909447881014</v>
      </c>
    </row>
    <row r="127" spans="2:17">
      <c r="B127" s="3">
        <v>2</v>
      </c>
      <c r="C127" s="74">
        <v>476619.54039288801</v>
      </c>
      <c r="D127" s="74">
        <v>197016.50664253382</v>
      </c>
      <c r="E127" s="74">
        <v>159289.03246552064</v>
      </c>
      <c r="F127" s="74">
        <v>5985.5642933748823</v>
      </c>
      <c r="G127" s="74">
        <v>108990.03176717655</v>
      </c>
      <c r="H127" s="74">
        <v>32605.132872076923</v>
      </c>
      <c r="I127" s="74">
        <v>13827.03321754438</v>
      </c>
      <c r="J127" s="74">
        <v>1358.4414570813585</v>
      </c>
      <c r="K127" s="74"/>
      <c r="L127" s="74">
        <v>718.08326074841648</v>
      </c>
      <c r="M127" s="74">
        <v>53.053270666385046</v>
      </c>
      <c r="N127" s="74">
        <v>89018.226205285653</v>
      </c>
      <c r="O127" s="10">
        <f t="shared" si="50"/>
        <v>1085480.6458448973</v>
      </c>
      <c r="P127" s="72"/>
      <c r="Q127" s="106">
        <f t="shared" si="51"/>
        <v>2266.3919730309217</v>
      </c>
    </row>
    <row r="128" spans="2:17">
      <c r="B128" s="3">
        <v>3</v>
      </c>
      <c r="C128" s="74">
        <v>364998.05381264136</v>
      </c>
      <c r="D128" s="74">
        <v>154783.99566979194</v>
      </c>
      <c r="E128" s="74">
        <v>135575.94684455713</v>
      </c>
      <c r="F128" s="74">
        <v>4150.8255994138872</v>
      </c>
      <c r="G128" s="74">
        <v>76953.932150073466</v>
      </c>
      <c r="H128" s="74">
        <v>23457.476470483904</v>
      </c>
      <c r="I128" s="74">
        <v>9777.1906844947989</v>
      </c>
      <c r="J128" s="74">
        <v>997.28325884111848</v>
      </c>
      <c r="K128" s="74"/>
      <c r="L128" s="74">
        <v>549.35453986166203</v>
      </c>
      <c r="M128" s="74">
        <v>40.823533789362031</v>
      </c>
      <c r="N128" s="74">
        <v>68266.667546604658</v>
      </c>
      <c r="O128" s="10">
        <f t="shared" si="50"/>
        <v>839551.55011055327</v>
      </c>
      <c r="P128" s="72"/>
      <c r="Q128" s="106">
        <f t="shared" si="51"/>
        <v>1734.8693211696889</v>
      </c>
    </row>
    <row r="129" spans="2:17">
      <c r="B129" s="3">
        <v>4</v>
      </c>
      <c r="C129" s="4">
        <v>392145.46237466531</v>
      </c>
      <c r="D129" s="4">
        <v>165037.81815990098</v>
      </c>
      <c r="E129" s="4">
        <v>141459.40954447386</v>
      </c>
      <c r="F129" s="4">
        <v>4304.3980263931953</v>
      </c>
      <c r="G129" s="4">
        <v>79799.932048916526</v>
      </c>
      <c r="H129" s="4">
        <v>24348.688473941984</v>
      </c>
      <c r="I129" s="4">
        <v>10139.565074044052</v>
      </c>
      <c r="J129" s="4">
        <v>1036.2364584152301</v>
      </c>
      <c r="K129" s="4"/>
      <c r="L129" s="4">
        <v>590.21380468032453</v>
      </c>
      <c r="M129" s="4">
        <v>43.859859981101884</v>
      </c>
      <c r="N129" s="4">
        <v>73344.127811658109</v>
      </c>
      <c r="O129" s="10">
        <f t="shared" si="50"/>
        <v>892249.71163707052</v>
      </c>
      <c r="P129" s="72"/>
      <c r="Q129" s="106">
        <f t="shared" si="51"/>
        <v>1825.8206620401384</v>
      </c>
    </row>
    <row r="130" spans="2:17">
      <c r="B130" s="3">
        <v>5</v>
      </c>
      <c r="C130" s="4">
        <v>420094.16162124358</v>
      </c>
      <c r="D130" s="4">
        <v>175620.30798465337</v>
      </c>
      <c r="E130" s="4">
        <v>147604.67605996976</v>
      </c>
      <c r="F130" s="4">
        <v>4464.6754688719529</v>
      </c>
      <c r="G130" s="4">
        <v>82772.788862664558</v>
      </c>
      <c r="H130" s="4">
        <v>25279.625146867187</v>
      </c>
      <c r="I130" s="4">
        <v>10518.091852466363</v>
      </c>
      <c r="J130" s="4">
        <v>1076.925948537229</v>
      </c>
      <c r="K130" s="4"/>
      <c r="L130" s="4">
        <v>632.27908325908982</v>
      </c>
      <c r="M130" s="4">
        <v>46.985807246144233</v>
      </c>
      <c r="N130" s="4">
        <v>78571.455847783975</v>
      </c>
      <c r="O130" s="10">
        <f t="shared" si="50"/>
        <v>946681.97368356329</v>
      </c>
      <c r="P130" s="72"/>
      <c r="Q130" s="106">
        <f t="shared" si="51"/>
        <v>1920.1193715593085</v>
      </c>
    </row>
    <row r="131" spans="2:17">
      <c r="B131" s="3">
        <v>6</v>
      </c>
      <c r="C131" s="4">
        <v>449425.51712976245</v>
      </c>
      <c r="D131" s="4">
        <v>186421.17778096243</v>
      </c>
      <c r="E131" s="4">
        <v>153034.16029398737</v>
      </c>
      <c r="F131" s="4">
        <v>4596.3367010889187</v>
      </c>
      <c r="G131" s="4">
        <v>85212.252633997196</v>
      </c>
      <c r="H131" s="4">
        <v>26054.057671317263</v>
      </c>
      <c r="I131" s="4">
        <v>10829.050968906442</v>
      </c>
      <c r="J131" s="4">
        <v>1111.2351926500814</v>
      </c>
      <c r="K131" s="4"/>
      <c r="L131" s="4">
        <v>676.4253825080508</v>
      </c>
      <c r="M131" s="4">
        <v>50.266398937475444</v>
      </c>
      <c r="N131" s="4">
        <v>84057.386181591108</v>
      </c>
      <c r="O131" s="10">
        <f t="shared" si="50"/>
        <v>1001467.8663357089</v>
      </c>
      <c r="P131" s="72"/>
      <c r="Q131" s="106">
        <f t="shared" si="51"/>
        <v>2009.9784118618729</v>
      </c>
    </row>
    <row r="132" spans="2:17">
      <c r="B132" s="3">
        <v>7</v>
      </c>
      <c r="C132" s="4">
        <v>479959.54425832978</v>
      </c>
      <c r="D132" s="4">
        <v>197045.13979343529</v>
      </c>
      <c r="E132" s="4">
        <v>156613.85919226878</v>
      </c>
      <c r="F132" s="4">
        <v>4660.0602330483134</v>
      </c>
      <c r="G132" s="4">
        <v>86383.96990219783</v>
      </c>
      <c r="H132" s="4">
        <v>26452.464339970174</v>
      </c>
      <c r="I132" s="4">
        <v>10979.284049862177</v>
      </c>
      <c r="J132" s="4">
        <v>1130.0257303698224</v>
      </c>
      <c r="K132" s="4"/>
      <c r="L132" s="4">
        <v>722.3818095303933</v>
      </c>
      <c r="M132" s="4">
        <v>53.681504511841638</v>
      </c>
      <c r="N132" s="4">
        <v>89768.25575218584</v>
      </c>
      <c r="O132" s="10">
        <f t="shared" si="50"/>
        <v>1053768.6665657104</v>
      </c>
      <c r="P132" s="72"/>
      <c r="Q132" s="106">
        <f t="shared" ref="Q132:Q160" si="52">SUMPRODUCT($C$45:$N$45,$C132:$N132)/1000</f>
        <v>2085.1365356964161</v>
      </c>
    </row>
    <row r="133" spans="2:17">
      <c r="B133" s="3">
        <v>8</v>
      </c>
      <c r="C133" s="4">
        <v>511169.83408705273</v>
      </c>
      <c r="D133" s="4">
        <v>208006.78853811207</v>
      </c>
      <c r="E133" s="4">
        <v>160616.72371663785</v>
      </c>
      <c r="F133" s="4">
        <v>4736.1330731677026</v>
      </c>
      <c r="G133" s="4">
        <v>87788.68288203812</v>
      </c>
      <c r="H133" s="4">
        <v>26922.258127371693</v>
      </c>
      <c r="I133" s="4">
        <v>11159.131864337947</v>
      </c>
      <c r="J133" s="4">
        <v>1151.8676181145911</v>
      </c>
      <c r="K133" s="4"/>
      <c r="L133" s="4">
        <v>769.35607207429234</v>
      </c>
      <c r="M133" s="4">
        <v>57.172247292768006</v>
      </c>
      <c r="N133" s="4">
        <v>95605.608739454881</v>
      </c>
      <c r="O133" s="10">
        <f t="shared" si="50"/>
        <v>1107983.5569656547</v>
      </c>
      <c r="P133" s="72"/>
      <c r="Q133" s="106">
        <f t="shared" si="52"/>
        <v>2164.8551247479886</v>
      </c>
    </row>
    <row r="134" spans="2:17">
      <c r="B134" s="3">
        <v>9</v>
      </c>
      <c r="C134" s="4">
        <v>543523.75818887714</v>
      </c>
      <c r="D134" s="4">
        <v>219483.83526878094</v>
      </c>
      <c r="E134" s="4">
        <v>165148.15149458291</v>
      </c>
      <c r="F134" s="4">
        <v>4827.2149791140009</v>
      </c>
      <c r="G134" s="4">
        <v>89476.00424627529</v>
      </c>
      <c r="H134" s="4">
        <v>27479.053739486688</v>
      </c>
      <c r="I134" s="4">
        <v>11374.914078585389</v>
      </c>
      <c r="J134" s="4">
        <v>1177.44678762801</v>
      </c>
      <c r="K134" s="4"/>
      <c r="L134" s="4">
        <v>818.05160593267408</v>
      </c>
      <c r="M134" s="4">
        <v>60.790900871856032</v>
      </c>
      <c r="N134" s="4">
        <v>101656.85903357583</v>
      </c>
      <c r="O134" s="10">
        <f t="shared" si="50"/>
        <v>1165026.0803237106</v>
      </c>
      <c r="P134" s="72"/>
      <c r="Q134" s="106">
        <f t="shared" si="52"/>
        <v>2250.7201483734934</v>
      </c>
    </row>
    <row r="135" spans="2:17">
      <c r="B135" s="3">
        <v>10</v>
      </c>
      <c r="C135" s="4">
        <v>576912.48070493736</v>
      </c>
      <c r="D135" s="4">
        <v>231435.18827268036</v>
      </c>
      <c r="E135" s="4">
        <v>170184.71257315285</v>
      </c>
      <c r="F135" s="4">
        <v>4932.613037065219</v>
      </c>
      <c r="G135" s="4">
        <v>91433.288496379333</v>
      </c>
      <c r="H135" s="4">
        <v>28118.966081281149</v>
      </c>
      <c r="I135" s="4">
        <v>11625.023044031097</v>
      </c>
      <c r="J135" s="4">
        <v>1206.5966989305844</v>
      </c>
      <c r="K135" s="4"/>
      <c r="L135" s="4">
        <v>868.30460345631093</v>
      </c>
      <c r="M135" s="4">
        <v>64.525292405126208</v>
      </c>
      <c r="N135" s="4">
        <v>107901.65074136871</v>
      </c>
      <c r="O135" s="10">
        <f t="shared" si="50"/>
        <v>1224683.3495456881</v>
      </c>
      <c r="P135" s="72"/>
      <c r="Q135" s="106">
        <f t="shared" si="52"/>
        <v>2342.3579538479426</v>
      </c>
    </row>
    <row r="136" spans="2:17">
      <c r="B136" s="3">
        <v>11</v>
      </c>
      <c r="C136" s="4">
        <v>611226.10400014895</v>
      </c>
      <c r="D136" s="4">
        <v>243819.18828870961</v>
      </c>
      <c r="E136" s="4">
        <v>175702.17761479772</v>
      </c>
      <c r="F136" s="4">
        <v>5051.6183537932784</v>
      </c>
      <c r="G136" s="4">
        <v>93647.567667739815</v>
      </c>
      <c r="H136" s="4">
        <v>28838.005339642215</v>
      </c>
      <c r="I136" s="4">
        <v>11907.809929631598</v>
      </c>
      <c r="J136" s="4">
        <v>1239.1460715019819</v>
      </c>
      <c r="K136" s="4"/>
      <c r="L136" s="4">
        <v>919.94965892831476</v>
      </c>
      <c r="M136" s="4">
        <v>68.363130293288094</v>
      </c>
      <c r="N136" s="4">
        <v>114319.42938250102</v>
      </c>
      <c r="O136" s="10">
        <f t="shared" si="50"/>
        <v>1286739.3594376878</v>
      </c>
      <c r="P136" s="72"/>
      <c r="Q136" s="106">
        <f t="shared" si="52"/>
        <v>2439.3875607333539</v>
      </c>
    </row>
    <row r="137" spans="2:17">
      <c r="B137" s="3">
        <v>12</v>
      </c>
      <c r="C137" s="4">
        <v>646345.42680702906</v>
      </c>
      <c r="D137" s="4">
        <v>256590.41999621986</v>
      </c>
      <c r="E137" s="4">
        <v>181673.47615641166</v>
      </c>
      <c r="F137" s="4">
        <v>5183.4529326646807</v>
      </c>
      <c r="G137" s="4">
        <v>96104.559777584276</v>
      </c>
      <c r="H137" s="4">
        <v>29631.766670290137</v>
      </c>
      <c r="I137" s="4">
        <v>12221.458476089696</v>
      </c>
      <c r="J137" s="4">
        <v>1274.9053292554413</v>
      </c>
      <c r="K137" s="4"/>
      <c r="L137" s="4">
        <v>972.80736383742146</v>
      </c>
      <c r="M137" s="4">
        <v>72.291082363964392</v>
      </c>
      <c r="N137" s="4">
        <v>120887.90039070492</v>
      </c>
      <c r="O137" s="10">
        <f t="shared" si="50"/>
        <v>1350958.4649824512</v>
      </c>
      <c r="P137" s="72"/>
      <c r="Q137" s="106">
        <f t="shared" si="52"/>
        <v>2541.3911012815324</v>
      </c>
    </row>
    <row r="138" spans="2:17">
      <c r="B138" s="3">
        <v>13</v>
      </c>
      <c r="C138" s="4">
        <v>682145.57405279879</v>
      </c>
      <c r="D138" s="4">
        <v>269701.06538528088</v>
      </c>
      <c r="E138" s="4">
        <v>188069.42371275651</v>
      </c>
      <c r="F138" s="4">
        <v>5327.2885471077379</v>
      </c>
      <c r="G138" s="4">
        <v>98789.017284247151</v>
      </c>
      <c r="H138" s="4">
        <v>30495.539493839082</v>
      </c>
      <c r="I138" s="4">
        <v>12564.029370215874</v>
      </c>
      <c r="J138" s="4">
        <v>1313.6713854296731</v>
      </c>
      <c r="K138" s="4"/>
      <c r="L138" s="4">
        <v>1026.689770090675</v>
      </c>
      <c r="M138" s="4">
        <v>76.295181852949668</v>
      </c>
      <c r="N138" s="4">
        <v>127583.70801109562</v>
      </c>
      <c r="O138" s="10">
        <f t="shared" si="50"/>
        <v>1417092.3021947148</v>
      </c>
      <c r="P138" s="72"/>
      <c r="Q138" s="106">
        <f t="shared" si="52"/>
        <v>2647.9255092336698</v>
      </c>
    </row>
    <row r="139" spans="2:17">
      <c r="B139" s="3">
        <v>14</v>
      </c>
      <c r="C139" s="4">
        <v>718508.34924101923</v>
      </c>
      <c r="D139" s="4">
        <v>283105.65524806431</v>
      </c>
      <c r="E139" s="4">
        <v>194861.69007537514</v>
      </c>
      <c r="F139" s="4">
        <v>5482.3236120845304</v>
      </c>
      <c r="G139" s="4">
        <v>101686.16068814421</v>
      </c>
      <c r="H139" s="4">
        <v>31424.756590197198</v>
      </c>
      <c r="I139" s="4">
        <v>12933.642787505236</v>
      </c>
      <c r="J139" s="4">
        <v>1355.2472790383881</v>
      </c>
      <c r="K139" s="4"/>
      <c r="L139" s="4">
        <v>1081.4189814466122</v>
      </c>
      <c r="M139" s="4">
        <v>80.362208967382671</v>
      </c>
      <c r="N139" s="4">
        <v>134384.74560271081</v>
      </c>
      <c r="O139" s="10">
        <f t="shared" si="50"/>
        <v>1484904.352314553</v>
      </c>
      <c r="P139" s="72"/>
      <c r="Q139" s="106">
        <f t="shared" si="52"/>
        <v>2758.5660708298192</v>
      </c>
    </row>
    <row r="140" spans="2:17">
      <c r="B140" s="3">
        <v>15</v>
      </c>
      <c r="C140" s="4">
        <v>755315.91012047394</v>
      </c>
      <c r="D140" s="4">
        <v>296758.6251570544</v>
      </c>
      <c r="E140" s="4">
        <v>202021.24163374119</v>
      </c>
      <c r="F140" s="4">
        <v>5647.742624194515</v>
      </c>
      <c r="G140" s="4">
        <v>104780.92176926832</v>
      </c>
      <c r="H140" s="4">
        <v>32414.757282107537</v>
      </c>
      <c r="I140" s="4">
        <v>13328.382040669971</v>
      </c>
      <c r="J140" s="4">
        <v>1399.4318310780191</v>
      </c>
      <c r="K140" s="4"/>
      <c r="L140" s="4">
        <v>1136.8176348343432</v>
      </c>
      <c r="M140" s="4">
        <v>84.47898353527593</v>
      </c>
      <c r="N140" s="4">
        <v>141268.97278012193</v>
      </c>
      <c r="O140" s="10">
        <f t="shared" si="50"/>
        <v>1554157.2818570794</v>
      </c>
      <c r="P140" s="72"/>
      <c r="Q140" s="106">
        <f t="shared" si="52"/>
        <v>2872.8838081142676</v>
      </c>
    </row>
    <row r="141" spans="2:17">
      <c r="B141" s="3">
        <v>16</v>
      </c>
      <c r="C141" s="4">
        <v>792444.70022776991</v>
      </c>
      <c r="D141" s="4">
        <v>310611.96560589608</v>
      </c>
      <c r="E141" s="4">
        <v>209516.83072475481</v>
      </c>
      <c r="F141" s="4">
        <v>5822.6768503232543</v>
      </c>
      <c r="G141" s="4">
        <v>108057.2096937318</v>
      </c>
      <c r="H141" s="4">
        <v>33460.557772012791</v>
      </c>
      <c r="I141" s="4">
        <v>13746.200139768065</v>
      </c>
      <c r="J141" s="4">
        <v>1446.0096130432823</v>
      </c>
      <c r="K141" s="4"/>
      <c r="L141" s="4">
        <v>1192.6997667853366</v>
      </c>
      <c r="M141" s="4">
        <v>88.631686273470194</v>
      </c>
      <c r="N141" s="4">
        <v>148213.28041186486</v>
      </c>
      <c r="O141" s="10">
        <f t="shared" si="50"/>
        <v>1624600.7624922239</v>
      </c>
      <c r="P141" s="72"/>
      <c r="Q141" s="106">
        <f t="shared" si="52"/>
        <v>2990.4236572272353</v>
      </c>
    </row>
    <row r="142" spans="2:17">
      <c r="B142" s="3">
        <v>17</v>
      </c>
      <c r="C142" s="4">
        <v>829817.14894389152</v>
      </c>
      <c r="D142" s="4">
        <v>324635.40329759935</v>
      </c>
      <c r="E142" s="4">
        <v>217328.41555513287</v>
      </c>
      <c r="F142" s="4">
        <v>6006.5512284622619</v>
      </c>
      <c r="G142" s="4">
        <v>111504.40547816145</v>
      </c>
      <c r="H142" s="4">
        <v>34558.884998892725</v>
      </c>
      <c r="I142" s="4">
        <v>14185.746721671765</v>
      </c>
      <c r="J142" s="4">
        <v>1494.8398493082711</v>
      </c>
      <c r="K142" s="4"/>
      <c r="L142" s="4">
        <v>1248.9486266175788</v>
      </c>
      <c r="M142" s="4">
        <v>92.811641226701056</v>
      </c>
      <c r="N142" s="4">
        <v>155203.16023521207</v>
      </c>
      <c r="O142" s="10">
        <f t="shared" si="50"/>
        <v>1696076.3165761768</v>
      </c>
      <c r="P142" s="72"/>
      <c r="Q142" s="106">
        <f t="shared" si="52"/>
        <v>3110.8943166886561</v>
      </c>
    </row>
    <row r="143" spans="2:17">
      <c r="B143" s="3">
        <v>18</v>
      </c>
      <c r="C143" s="4">
        <v>867414.40685852233</v>
      </c>
      <c r="D143" s="4">
        <v>338821.62011443166</v>
      </c>
      <c r="E143" s="4">
        <v>225451.30537083995</v>
      </c>
      <c r="F143" s="4">
        <v>6199.1903952523289</v>
      </c>
      <c r="G143" s="4">
        <v>115119.36809263233</v>
      </c>
      <c r="H143" s="4">
        <v>35708.804977765503</v>
      </c>
      <c r="I143" s="4">
        <v>14646.623486920766</v>
      </c>
      <c r="J143" s="4">
        <v>1545.8838866734061</v>
      </c>
      <c r="K143" s="4"/>
      <c r="L143" s="4">
        <v>1305.5358442917704</v>
      </c>
      <c r="M143" s="4">
        <v>97.016740165812536</v>
      </c>
      <c r="N143" s="4">
        <v>162235.08678909868</v>
      </c>
      <c r="O143" s="10">
        <f t="shared" si="50"/>
        <v>1768544.8425565949</v>
      </c>
      <c r="P143" s="72"/>
      <c r="Q143" s="106">
        <f t="shared" si="52"/>
        <v>3234.2213112538211</v>
      </c>
    </row>
    <row r="144" spans="2:17">
      <c r="B144" s="3">
        <v>19</v>
      </c>
      <c r="C144" s="4">
        <v>905228.93147388496</v>
      </c>
      <c r="D144" s="4">
        <v>353167.91881201166</v>
      </c>
      <c r="E144" s="4">
        <v>233884.44304380764</v>
      </c>
      <c r="F144" s="4">
        <v>6400.5147966700297</v>
      </c>
      <c r="G144" s="4">
        <v>118900.76060592481</v>
      </c>
      <c r="H144" s="4">
        <v>36909.946188286733</v>
      </c>
      <c r="I144" s="4">
        <v>15128.661765626577</v>
      </c>
      <c r="J144" s="4">
        <v>1599.1275477336362</v>
      </c>
      <c r="K144" s="4"/>
      <c r="L144" s="4">
        <v>1362.4500676778034</v>
      </c>
      <c r="M144" s="4">
        <v>101.24613949339451</v>
      </c>
      <c r="N144" s="4">
        <v>169307.64937781583</v>
      </c>
      <c r="O144" s="10">
        <f t="shared" si="50"/>
        <v>1841991.6498189329</v>
      </c>
      <c r="P144" s="72"/>
      <c r="Q144" s="106">
        <f t="shared" si="52"/>
        <v>3360.3772823860227</v>
      </c>
    </row>
    <row r="145" spans="2:17">
      <c r="B145" s="3">
        <v>20</v>
      </c>
      <c r="C145" s="4">
        <v>943225.5516936332</v>
      </c>
      <c r="D145" s="4">
        <v>367823.10766310093</v>
      </c>
      <c r="E145" s="4">
        <v>243162.59389045666</v>
      </c>
      <c r="F145" s="4">
        <v>6629.209506962914</v>
      </c>
      <c r="G145" s="4">
        <v>123197.86145319504</v>
      </c>
      <c r="H145" s="4">
        <v>38266.595361349529</v>
      </c>
      <c r="I145" s="4">
        <v>15676.166116835528</v>
      </c>
      <c r="J145" s="4">
        <v>1658.9065120035355</v>
      </c>
      <c r="K145" s="4"/>
      <c r="L145" s="4">
        <v>1419.6383611469873</v>
      </c>
      <c r="M145" s="4">
        <v>105.49590546671853</v>
      </c>
      <c r="N145" s="4">
        <v>176414.2698469969</v>
      </c>
      <c r="O145" s="10">
        <f t="shared" si="50"/>
        <v>1917579.3963111483</v>
      </c>
      <c r="P145" s="72"/>
      <c r="Q145" s="106">
        <f t="shared" si="52"/>
        <v>3494.0172653431587</v>
      </c>
    </row>
    <row r="146" spans="2:17">
      <c r="B146" s="3">
        <v>21</v>
      </c>
      <c r="C146" s="4">
        <v>981334.4104925018</v>
      </c>
      <c r="D146" s="4">
        <v>382921.03112838999</v>
      </c>
      <c r="E146" s="4">
        <v>253806.74913012225</v>
      </c>
      <c r="F146" s="4">
        <v>6903.5652359922715</v>
      </c>
      <c r="G146" s="4">
        <v>128352.55966737629</v>
      </c>
      <c r="H146" s="4">
        <v>39880.765806172742</v>
      </c>
      <c r="I146" s="4">
        <v>16332.501564856419</v>
      </c>
      <c r="J146" s="4">
        <v>1729.4588645749268</v>
      </c>
      <c r="K146" s="4"/>
      <c r="L146" s="4">
        <v>1476.9955836620748</v>
      </c>
      <c r="M146" s="4">
        <v>109.75822486431244</v>
      </c>
      <c r="N146" s="4">
        <v>183541.88263020993</v>
      </c>
      <c r="O146" s="10">
        <f t="shared" si="50"/>
        <v>1996389.6783287232</v>
      </c>
      <c r="P146" s="72"/>
      <c r="Q146" s="106">
        <f t="shared" si="52"/>
        <v>3639.6275072684562</v>
      </c>
    </row>
    <row r="147" spans="2:17">
      <c r="B147" s="3">
        <v>22</v>
      </c>
      <c r="C147" s="4">
        <v>1019476.331363949</v>
      </c>
      <c r="D147" s="4">
        <v>398083.71318525181</v>
      </c>
      <c r="E147" s="4">
        <v>264635.19360005239</v>
      </c>
      <c r="F147" s="4">
        <v>7182.472760392242</v>
      </c>
      <c r="G147" s="4">
        <v>133596.83568349128</v>
      </c>
      <c r="H147" s="4">
        <v>41522.987134750081</v>
      </c>
      <c r="I147" s="4">
        <v>17000.242741073605</v>
      </c>
      <c r="J147" s="4">
        <v>1801.2372684886086</v>
      </c>
      <c r="K147" s="4"/>
      <c r="L147" s="4">
        <v>1534.4025675374724</v>
      </c>
      <c r="M147" s="4">
        <v>114.02424211898517</v>
      </c>
      <c r="N147" s="4">
        <v>190675.67911082509</v>
      </c>
      <c r="O147" s="10">
        <f t="shared" si="50"/>
        <v>2075623.1196579307</v>
      </c>
      <c r="P147" s="72"/>
      <c r="Q147" s="106">
        <f t="shared" si="52"/>
        <v>3786.6804200285164</v>
      </c>
    </row>
    <row r="148" spans="2:17">
      <c r="B148" s="3">
        <v>23</v>
      </c>
      <c r="C148" s="4">
        <v>1057579.9363691341</v>
      </c>
      <c r="D148" s="4">
        <v>413284.67593557411</v>
      </c>
      <c r="E148" s="4">
        <v>275634.09203843889</v>
      </c>
      <c r="F148" s="4">
        <v>7465.5685612663219</v>
      </c>
      <c r="G148" s="4">
        <v>138924.00097143458</v>
      </c>
      <c r="H148" s="4">
        <v>43191.164864113431</v>
      </c>
      <c r="I148" s="4">
        <v>17678.538010877095</v>
      </c>
      <c r="J148" s="4">
        <v>1874.1501778354759</v>
      </c>
      <c r="K148" s="4"/>
      <c r="L148" s="4">
        <v>1591.7518826257078</v>
      </c>
      <c r="M148" s="4">
        <v>118.28597390132541</v>
      </c>
      <c r="N148" s="4">
        <v>197802.30926143774</v>
      </c>
      <c r="O148" s="10">
        <f t="shared" si="50"/>
        <v>2155144.4740466392</v>
      </c>
      <c r="P148" s="72"/>
      <c r="Q148" s="106">
        <f t="shared" si="52"/>
        <v>3934.9491545438009</v>
      </c>
    </row>
    <row r="149" spans="2:17">
      <c r="B149" s="3">
        <v>24</v>
      </c>
      <c r="C149" s="4">
        <v>1095564.0934338062</v>
      </c>
      <c r="D149" s="4">
        <v>428493.43180126126</v>
      </c>
      <c r="E149" s="4">
        <v>286786.39240906527</v>
      </c>
      <c r="F149" s="4">
        <v>7752.4067643114295</v>
      </c>
      <c r="G149" s="4">
        <v>144325.80826634861</v>
      </c>
      <c r="H149" s="4">
        <v>44882.716400553021</v>
      </c>
      <c r="I149" s="4">
        <v>18366.337269672902</v>
      </c>
      <c r="J149" s="4">
        <v>1948.0847123044398</v>
      </c>
      <c r="K149" s="4"/>
      <c r="L149" s="4">
        <v>1648.9214179378262</v>
      </c>
      <c r="M149" s="4">
        <v>122.53434592192269</v>
      </c>
      <c r="N149" s="4">
        <v>204906.59870979475</v>
      </c>
      <c r="O149" s="10">
        <f t="shared" si="50"/>
        <v>2234797.3255309779</v>
      </c>
      <c r="P149" s="72"/>
      <c r="Q149" s="106">
        <f t="shared" si="52"/>
        <v>4084.1658898156256</v>
      </c>
    </row>
    <row r="150" spans="2:17">
      <c r="B150" s="3">
        <v>25</v>
      </c>
      <c r="C150" s="4">
        <v>1133342.0132662819</v>
      </c>
      <c r="D150" s="4">
        <v>443677.06194454542</v>
      </c>
      <c r="E150" s="4">
        <v>298072.81876587955</v>
      </c>
      <c r="F150" s="4">
        <v>8042.4849027039236</v>
      </c>
      <c r="G150" s="4">
        <v>149792.93210163791</v>
      </c>
      <c r="H150" s="4">
        <v>46594.721516358652</v>
      </c>
      <c r="I150" s="4">
        <v>19062.453128007437</v>
      </c>
      <c r="J150" s="4">
        <v>2022.9132342376201</v>
      </c>
      <c r="K150" s="4"/>
      <c r="L150" s="4">
        <v>1705.7805478693888</v>
      </c>
      <c r="M150" s="4">
        <v>126.75965115482273</v>
      </c>
      <c r="N150" s="4">
        <v>211972.3149975033</v>
      </c>
      <c r="O150" s="10">
        <f t="shared" si="50"/>
        <v>2314412.2540561799</v>
      </c>
      <c r="P150" s="72"/>
      <c r="Q150" s="106">
        <f t="shared" si="52"/>
        <v>4234.0363480629867</v>
      </c>
    </row>
    <row r="151" spans="2:17">
      <c r="B151" s="3">
        <v>26</v>
      </c>
      <c r="C151" s="4">
        <v>1170815.9721393576</v>
      </c>
      <c r="D151" s="4">
        <v>458798.04103354993</v>
      </c>
      <c r="E151" s="4">
        <v>309470.11090018845</v>
      </c>
      <c r="F151" s="4">
        <v>8335.1988679845817</v>
      </c>
      <c r="G151" s="4">
        <v>155314.11577240907</v>
      </c>
      <c r="H151" s="4">
        <v>48323.655225277034</v>
      </c>
      <c r="I151" s="4">
        <v>19765.452296453768</v>
      </c>
      <c r="J151" s="4">
        <v>2098.4816731192604</v>
      </c>
      <c r="K151" s="4"/>
      <c r="L151" s="4">
        <v>1762.1821895178136</v>
      </c>
      <c r="M151" s="4">
        <v>130.95095960235062</v>
      </c>
      <c r="N151" s="4">
        <v>218981.18056629493</v>
      </c>
      <c r="O151" s="10">
        <f t="shared" si="50"/>
        <v>2393795.3416237547</v>
      </c>
      <c r="P151" s="72"/>
      <c r="Q151" s="106">
        <f t="shared" si="52"/>
        <v>4384.2174775394278</v>
      </c>
    </row>
    <row r="152" spans="2:17">
      <c r="B152" s="3">
        <v>27</v>
      </c>
      <c r="C152" s="4">
        <v>1207875.386312203</v>
      </c>
      <c r="D152" s="4">
        <v>473813.37967171113</v>
      </c>
      <c r="E152" s="4">
        <v>320950.16561907635</v>
      </c>
      <c r="F152" s="4">
        <v>8629.8211398075782</v>
      </c>
      <c r="G152" s="4">
        <v>160875.75487108261</v>
      </c>
      <c r="H152" s="4">
        <v>50065.257368571067</v>
      </c>
      <c r="I152" s="4">
        <v>20473.602558192844</v>
      </c>
      <c r="J152" s="4">
        <v>2174.6038254277978</v>
      </c>
      <c r="K152" s="4"/>
      <c r="L152" s="4">
        <v>1817.959904516033</v>
      </c>
      <c r="M152" s="4">
        <v>135.09590292710516</v>
      </c>
      <c r="N152" s="4">
        <v>225912.51261144664</v>
      </c>
      <c r="O152" s="10">
        <f t="shared" si="50"/>
        <v>2472723.5397849618</v>
      </c>
      <c r="P152" s="72"/>
      <c r="Q152" s="106">
        <f t="shared" si="52"/>
        <v>4534.3076821180493</v>
      </c>
    </row>
    <row r="153" spans="2:17">
      <c r="B153" s="3">
        <v>28</v>
      </c>
      <c r="C153" s="4">
        <v>1244401.9316018068</v>
      </c>
      <c r="D153" s="4">
        <v>488676.58203011088</v>
      </c>
      <c r="E153" s="4">
        <v>332481.22734102339</v>
      </c>
      <c r="F153" s="4">
        <v>8925.5317449739032</v>
      </c>
      <c r="G153" s="4">
        <v>166462.47341032466</v>
      </c>
      <c r="H153" s="4">
        <v>51814.713025311736</v>
      </c>
      <c r="I153" s="4">
        <v>21184.946125374394</v>
      </c>
      <c r="J153" s="4">
        <v>2251.06924003022</v>
      </c>
      <c r="K153" s="4"/>
      <c r="L153" s="4">
        <v>1872.9356044429335</v>
      </c>
      <c r="M153" s="4">
        <v>139.18124705500625</v>
      </c>
      <c r="N153" s="4">
        <v>232744.18061039806</v>
      </c>
      <c r="O153" s="10">
        <f t="shared" si="50"/>
        <v>2550954.7719808519</v>
      </c>
      <c r="P153" s="72"/>
      <c r="Q153" s="106">
        <f t="shared" si="52"/>
        <v>4683.8645828723247</v>
      </c>
    </row>
    <row r="154" spans="2:17">
      <c r="B154" s="3">
        <v>29</v>
      </c>
      <c r="C154" s="4">
        <v>1280261.3782277992</v>
      </c>
      <c r="D154" s="4">
        <v>503334.23458722525</v>
      </c>
      <c r="E154" s="4">
        <v>344025.0097512051</v>
      </c>
      <c r="F154" s="4">
        <v>9221.3447445184029</v>
      </c>
      <c r="G154" s="4">
        <v>172055.72878198751</v>
      </c>
      <c r="H154" s="4">
        <v>53566.215661576323</v>
      </c>
      <c r="I154" s="4">
        <v>21897.122011861018</v>
      </c>
      <c r="J154" s="4">
        <v>2327.624124255593</v>
      </c>
      <c r="K154" s="4"/>
      <c r="L154" s="4">
        <v>1926.9072615384748</v>
      </c>
      <c r="M154" s="4">
        <v>143.19197893621092</v>
      </c>
      <c r="N154" s="4">
        <v>239451.07916958444</v>
      </c>
      <c r="O154" s="10">
        <f t="shared" si="50"/>
        <v>2628209.8363004872</v>
      </c>
      <c r="P154" s="72"/>
      <c r="Q154" s="106">
        <f t="shared" si="52"/>
        <v>4832.3693250253782</v>
      </c>
    </row>
    <row r="155" spans="2:17">
      <c r="B155" s="3">
        <v>30</v>
      </c>
      <c r="C155" s="4">
        <v>1315316.4119853899</v>
      </c>
      <c r="D155" s="4">
        <v>517731.10398410057</v>
      </c>
      <c r="E155" s="4">
        <v>355540.33914778382</v>
      </c>
      <c r="F155" s="4">
        <v>9516.2020713141228</v>
      </c>
      <c r="G155" s="4">
        <v>177635.57625641223</v>
      </c>
      <c r="H155" s="4">
        <v>55313.519675428943</v>
      </c>
      <c r="I155" s="4">
        <v>22607.590702722388</v>
      </c>
      <c r="J155" s="4">
        <v>2403.9954945963746</v>
      </c>
      <c r="K155" s="4"/>
      <c r="L155" s="4">
        <v>1979.6682057094852</v>
      </c>
      <c r="M155" s="4">
        <v>147.1127405406682</v>
      </c>
      <c r="N155" s="4">
        <v>246007.52600640198</v>
      </c>
      <c r="O155" s="10">
        <f t="shared" si="50"/>
        <v>2704199.0462704008</v>
      </c>
      <c r="P155" s="72"/>
      <c r="Q155" s="106">
        <f t="shared" si="52"/>
        <v>4979.2760346855093</v>
      </c>
    </row>
    <row r="156" spans="2:17">
      <c r="B156" s="3">
        <v>31</v>
      </c>
      <c r="C156" s="4">
        <v>1349429.7251444063</v>
      </c>
      <c r="D156" s="4">
        <v>531811.32419371034</v>
      </c>
      <c r="E156" s="4">
        <v>366983.89109503594</v>
      </c>
      <c r="F156" s="4">
        <v>9808.9926609750801</v>
      </c>
      <c r="G156" s="4">
        <v>183181.02548551944</v>
      </c>
      <c r="H156" s="4">
        <v>57050.052034251865</v>
      </c>
      <c r="I156" s="4">
        <v>23313.679546924741</v>
      </c>
      <c r="J156" s="4">
        <v>2479.8960561660815</v>
      </c>
      <c r="K156" s="4"/>
      <c r="L156" s="4">
        <v>2031.0117766076687</v>
      </c>
      <c r="M156" s="4">
        <v>150.92817456248645</v>
      </c>
      <c r="N156" s="4">
        <v>252387.84004921385</v>
      </c>
      <c r="O156" s="10">
        <f t="shared" si="50"/>
        <v>2778628.3662173734</v>
      </c>
      <c r="P156" s="72"/>
      <c r="Q156" s="106">
        <f t="shared" si="52"/>
        <v>5124.0226764103882</v>
      </c>
    </row>
    <row r="157" spans="2:17">
      <c r="B157" s="3">
        <v>32</v>
      </c>
      <c r="C157" s="4">
        <v>1382460.2388639667</v>
      </c>
      <c r="D157" s="4">
        <v>545516.78348727501</v>
      </c>
      <c r="E157" s="4">
        <v>378308.74076130224</v>
      </c>
      <c r="F157" s="4">
        <v>10098.515533409614</v>
      </c>
      <c r="G157" s="4">
        <v>188669.33772139618</v>
      </c>
      <c r="H157" s="4">
        <v>58768.692201922851</v>
      </c>
      <c r="I157" s="4">
        <v>24012.493273847231</v>
      </c>
      <c r="J157" s="4">
        <v>2555.0145837303489</v>
      </c>
      <c r="K157" s="4"/>
      <c r="L157" s="4">
        <v>2080.7256380276463</v>
      </c>
      <c r="M157" s="4">
        <v>154.62250191252383</v>
      </c>
      <c r="N157" s="4">
        <v>258565.63490437286</v>
      </c>
      <c r="O157" s="10">
        <f t="shared" si="50"/>
        <v>2851190.7994711632</v>
      </c>
      <c r="P157" s="72"/>
      <c r="Q157" s="106">
        <f t="shared" si="52"/>
        <v>5266.0136525744074</v>
      </c>
    </row>
    <row r="158" spans="2:17">
      <c r="B158" s="3">
        <v>33</v>
      </c>
      <c r="C158" s="4">
        <v>1414279.4192511402</v>
      </c>
      <c r="D158" s="4">
        <v>558793.81517283432</v>
      </c>
      <c r="E158" s="4">
        <v>389469.6882060435</v>
      </c>
      <c r="F158" s="4">
        <v>10383.616183335194</v>
      </c>
      <c r="G158" s="4">
        <v>194078.6061725296</v>
      </c>
      <c r="H158" s="4">
        <v>60462.580165705614</v>
      </c>
      <c r="I158" s="4">
        <v>24701.242543896169</v>
      </c>
      <c r="J158" s="4">
        <v>2629.0512390417575</v>
      </c>
      <c r="K158" s="4"/>
      <c r="L158" s="4">
        <v>2128.6163350266602</v>
      </c>
      <c r="M158" s="4">
        <v>158.18134660256254</v>
      </c>
      <c r="N158" s="4">
        <v>264516.87049701967</v>
      </c>
      <c r="O158" s="10">
        <f t="shared" si="50"/>
        <v>2921601.6871131752</v>
      </c>
      <c r="P158" s="72"/>
      <c r="Q158" s="106">
        <f t="shared" si="52"/>
        <v>5404.6879209690242</v>
      </c>
    </row>
    <row r="159" spans="2:17">
      <c r="B159" s="3">
        <v>34</v>
      </c>
      <c r="C159" s="4">
        <v>1444808.2788036454</v>
      </c>
      <c r="D159" s="4">
        <v>571608.82175770774</v>
      </c>
      <c r="E159" s="4">
        <v>400436.86312042043</v>
      </c>
      <c r="F159" s="4">
        <v>10663.533541628725</v>
      </c>
      <c r="G159" s="4">
        <v>199394.3506248545</v>
      </c>
      <c r="H159" s="4">
        <v>62127.181512021038</v>
      </c>
      <c r="I159" s="4">
        <v>25378.083625898362</v>
      </c>
      <c r="J159" s="4">
        <v>2701.8078314156942</v>
      </c>
      <c r="K159" s="4"/>
      <c r="L159" s="4">
        <v>2174.5649843873407</v>
      </c>
      <c r="M159" s="4">
        <v>161.59587420476211</v>
      </c>
      <c r="N159" s="4">
        <v>270226.77356055129</v>
      </c>
      <c r="O159" s="10">
        <f t="shared" si="50"/>
        <v>2989681.8552367357</v>
      </c>
      <c r="P159" s="72"/>
      <c r="Q159" s="106">
        <f t="shared" si="52"/>
        <v>5539.6849620811172</v>
      </c>
    </row>
    <row r="160" spans="2:17">
      <c r="B160" s="3">
        <v>35</v>
      </c>
      <c r="C160" s="4">
        <v>1464718.0017217812</v>
      </c>
      <c r="D160" s="4">
        <v>580001.88967666135</v>
      </c>
      <c r="E160" s="4">
        <v>407709.9389070227</v>
      </c>
      <c r="F160" s="4">
        <v>10849.059360784142</v>
      </c>
      <c r="G160" s="4">
        <v>202919.75800414788</v>
      </c>
      <c r="H160" s="4">
        <v>63231.146896834725</v>
      </c>
      <c r="I160" s="4">
        <v>25826.965351967014</v>
      </c>
      <c r="J160" s="4">
        <v>2750.0600809261337</v>
      </c>
      <c r="K160" s="4"/>
      <c r="L160" s="4">
        <v>2204.5308884742699</v>
      </c>
      <c r="M160" s="4">
        <v>163.82269497214781</v>
      </c>
      <c r="N160" s="4">
        <v>273950.54803331895</v>
      </c>
      <c r="O160" s="10">
        <f t="shared" si="50"/>
        <v>3034325.7216168903</v>
      </c>
      <c r="P160" s="72"/>
      <c r="Q160" s="107">
        <f t="shared" si="52"/>
        <v>5628.6324604915508</v>
      </c>
    </row>
    <row r="161" spans="2:17">
      <c r="B161" s="55" t="s">
        <v>4</v>
      </c>
      <c r="C161" s="56">
        <f t="shared" ref="C161:O161" si="53">SUM(C126:C160)</f>
        <v>30819649.336197324</v>
      </c>
      <c r="D161" s="56">
        <f t="shared" si="53"/>
        <v>12194429.976316912</v>
      </c>
      <c r="E161" s="56">
        <f t="shared" si="53"/>
        <v>8534476.5426820405</v>
      </c>
      <c r="F161" s="56">
        <f t="shared" si="53"/>
        <v>238022.61893395355</v>
      </c>
      <c r="G161" s="56">
        <f t="shared" si="53"/>
        <v>4425401.2902094861</v>
      </c>
      <c r="H161" s="56">
        <f t="shared" si="53"/>
        <v>1369736.1867981616</v>
      </c>
      <c r="I161" s="56">
        <f t="shared" si="53"/>
        <v>562944.87413992698</v>
      </c>
      <c r="J161" s="56">
        <f t="shared" si="53"/>
        <v>59166.4002350921</v>
      </c>
      <c r="K161" s="56">
        <f t="shared" si="53"/>
        <v>0</v>
      </c>
      <c r="L161" s="56">
        <f t="shared" si="53"/>
        <v>46388.104342172075</v>
      </c>
      <c r="M161" s="56">
        <f t="shared" si="53"/>
        <v>3446.4252891668921</v>
      </c>
      <c r="N161" s="56">
        <f t="shared" si="53"/>
        <v>5763982.2645853274</v>
      </c>
      <c r="O161" s="56">
        <f t="shared" si="53"/>
        <v>64017644.019729555</v>
      </c>
      <c r="Q161" s="56">
        <f>SUM(Q126:Q160)</f>
        <v>119481.86442469394</v>
      </c>
    </row>
    <row r="162" spans="2:17">
      <c r="B162" s="16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8"/>
    </row>
    <row r="163" spans="2:17">
      <c r="B163" s="893" t="s">
        <v>238</v>
      </c>
      <c r="C163" s="893"/>
      <c r="D163" s="893"/>
      <c r="E163" s="893"/>
      <c r="F163" s="893"/>
      <c r="G163" s="893"/>
      <c r="H163" s="893"/>
      <c r="I163" s="893"/>
      <c r="J163" s="893"/>
      <c r="K163" s="893"/>
      <c r="L163" s="893"/>
      <c r="M163" s="893"/>
      <c r="N163" s="893"/>
      <c r="O163" s="893"/>
    </row>
    <row r="164" spans="2:17">
      <c r="B164" s="893" t="s">
        <v>31</v>
      </c>
      <c r="C164" s="21" t="s">
        <v>32</v>
      </c>
      <c r="D164" s="21" t="s">
        <v>33</v>
      </c>
      <c r="E164" s="21" t="s">
        <v>34</v>
      </c>
      <c r="F164" s="21" t="s">
        <v>35</v>
      </c>
      <c r="G164" s="21" t="s">
        <v>36</v>
      </c>
      <c r="H164" s="21" t="s">
        <v>37</v>
      </c>
      <c r="I164" s="21" t="s">
        <v>38</v>
      </c>
      <c r="J164" s="21" t="s">
        <v>39</v>
      </c>
      <c r="K164" s="21" t="s">
        <v>40</v>
      </c>
      <c r="L164" s="21" t="s">
        <v>240</v>
      </c>
      <c r="M164" s="21" t="s">
        <v>241</v>
      </c>
      <c r="N164" s="21" t="s">
        <v>242</v>
      </c>
      <c r="O164" s="894" t="s">
        <v>42</v>
      </c>
      <c r="Q164" s="896" t="s">
        <v>325</v>
      </c>
    </row>
    <row r="165" spans="2:17">
      <c r="B165" s="893"/>
      <c r="C165" s="71">
        <f>C$45</f>
        <v>1</v>
      </c>
      <c r="D165" s="71">
        <f t="shared" ref="D165:N165" si="54">D$45</f>
        <v>2</v>
      </c>
      <c r="E165" s="71">
        <f t="shared" si="54"/>
        <v>3</v>
      </c>
      <c r="F165" s="71">
        <f t="shared" si="54"/>
        <v>4</v>
      </c>
      <c r="G165" s="71">
        <f t="shared" si="54"/>
        <v>5</v>
      </c>
      <c r="H165" s="71">
        <f t="shared" si="54"/>
        <v>6</v>
      </c>
      <c r="I165" s="71">
        <f t="shared" si="54"/>
        <v>7</v>
      </c>
      <c r="J165" s="71">
        <f t="shared" si="54"/>
        <v>8</v>
      </c>
      <c r="K165" s="71">
        <f t="shared" si="54"/>
        <v>9</v>
      </c>
      <c r="L165" s="71">
        <f t="shared" si="54"/>
        <v>1.5</v>
      </c>
      <c r="M165" s="71">
        <f t="shared" si="54"/>
        <v>2</v>
      </c>
      <c r="N165" s="71">
        <f t="shared" si="54"/>
        <v>0.5</v>
      </c>
      <c r="O165" s="895"/>
      <c r="Q165" s="897" t="s">
        <v>325</v>
      </c>
    </row>
    <row r="166" spans="2:17">
      <c r="B166" s="3">
        <v>1</v>
      </c>
      <c r="C166" s="4">
        <v>504247.40188604733</v>
      </c>
      <c r="D166" s="4">
        <v>202454.18549274726</v>
      </c>
      <c r="E166" s="4">
        <v>105416.15544570299</v>
      </c>
      <c r="F166" s="4">
        <v>4478.3382580619045</v>
      </c>
      <c r="G166" s="4">
        <v>90876.634849366819</v>
      </c>
      <c r="H166" s="4">
        <v>19648.04532193167</v>
      </c>
      <c r="I166" s="4">
        <v>9682.4151271140727</v>
      </c>
      <c r="J166" s="4">
        <v>902.74802830496901</v>
      </c>
      <c r="K166" s="4"/>
      <c r="L166" s="4">
        <v>702.9822478851562</v>
      </c>
      <c r="M166" s="4">
        <v>0</v>
      </c>
      <c r="N166" s="4">
        <v>74800.089200385555</v>
      </c>
      <c r="O166" s="10">
        <f t="shared" ref="O166:O200" si="55">SUM(C166:N166)</f>
        <v>1013208.9958575477</v>
      </c>
      <c r="P166" s="72"/>
      <c r="Q166" s="105">
        <f t="shared" ref="Q166:Q171" si="56">SUMPRODUCT($C$45:$N$45,$C166:$N166)/1000</f>
        <v>1929.0424465075812</v>
      </c>
    </row>
    <row r="167" spans="2:17">
      <c r="B167" s="3">
        <v>2</v>
      </c>
      <c r="C167" s="74">
        <v>889165.43771957862</v>
      </c>
      <c r="D167" s="74">
        <v>353145.31028969761</v>
      </c>
      <c r="E167" s="74">
        <v>172885.52407187998</v>
      </c>
      <c r="F167" s="74">
        <v>7637.990725343142</v>
      </c>
      <c r="G167" s="74">
        <v>155106.43910045535</v>
      </c>
      <c r="H167" s="74">
        <v>33545.999124711976</v>
      </c>
      <c r="I167" s="74">
        <v>16527.956306282595</v>
      </c>
      <c r="J167" s="74">
        <v>1542.466234553772</v>
      </c>
      <c r="K167" s="74"/>
      <c r="L167" s="74">
        <v>1240.4412162877215</v>
      </c>
      <c r="M167" s="74">
        <v>0</v>
      </c>
      <c r="N167" s="74">
        <v>131288.26572091255</v>
      </c>
      <c r="O167" s="10">
        <f t="shared" si="55"/>
        <v>1762085.8305097031</v>
      </c>
      <c r="P167" s="72"/>
      <c r="Q167" s="106">
        <f t="shared" si="56"/>
        <v>3317.0130023718311</v>
      </c>
    </row>
    <row r="168" spans="2:17">
      <c r="B168" s="3">
        <v>3</v>
      </c>
      <c r="C168" s="74">
        <v>740123.23195780884</v>
      </c>
      <c r="D168" s="74">
        <v>288000.04390930006</v>
      </c>
      <c r="E168" s="74">
        <v>124325.70631028831</v>
      </c>
      <c r="F168" s="74">
        <v>6221.173967191311</v>
      </c>
      <c r="G168" s="74">
        <v>126483.36512556442</v>
      </c>
      <c r="H168" s="74">
        <v>27370.119758524321</v>
      </c>
      <c r="I168" s="74">
        <v>13480.819202823634</v>
      </c>
      <c r="J168" s="74">
        <v>1260.0290183848526</v>
      </c>
      <c r="K168" s="74"/>
      <c r="L168" s="74">
        <v>1033.4334709295517</v>
      </c>
      <c r="M168" s="74">
        <v>0</v>
      </c>
      <c r="N168" s="74">
        <v>108613.39117269231</v>
      </c>
      <c r="O168" s="10">
        <f t="shared" si="55"/>
        <v>1436911.3138935075</v>
      </c>
      <c r="P168" s="72"/>
      <c r="Q168" s="106">
        <f t="shared" si="56"/>
        <v>2670.9254911145922</v>
      </c>
    </row>
    <row r="169" spans="2:17">
      <c r="B169" s="3">
        <v>4</v>
      </c>
      <c r="C169" s="4">
        <v>795171.27277426189</v>
      </c>
      <c r="D169" s="4">
        <v>307924.13933887763</v>
      </c>
      <c r="E169" s="4">
        <v>128606.19033633094</v>
      </c>
      <c r="F169" s="4">
        <v>6482.2865646232276</v>
      </c>
      <c r="G169" s="4">
        <v>131802.82843155894</v>
      </c>
      <c r="H169" s="4">
        <v>28522.273333318513</v>
      </c>
      <c r="I169" s="4">
        <v>14047.986893540106</v>
      </c>
      <c r="J169" s="4">
        <v>1313.1811659884474</v>
      </c>
      <c r="K169" s="4"/>
      <c r="L169" s="4">
        <v>1110.2970058551268</v>
      </c>
      <c r="M169" s="4">
        <v>0</v>
      </c>
      <c r="N169" s="4">
        <v>116691.71398749159</v>
      </c>
      <c r="O169" s="10">
        <f t="shared" si="55"/>
        <v>1531672.1698318464</v>
      </c>
      <c r="P169" s="72"/>
      <c r="Q169" s="106">
        <f t="shared" si="56"/>
        <v>2821.767710962426</v>
      </c>
    </row>
    <row r="170" spans="2:17">
      <c r="B170" s="3">
        <v>5</v>
      </c>
      <c r="C170" s="4">
        <v>851844.12732600793</v>
      </c>
      <c r="D170" s="4">
        <v>328455.33150038484</v>
      </c>
      <c r="E170" s="4">
        <v>133076.08658835568</v>
      </c>
      <c r="F170" s="4">
        <v>6755.0379321642049</v>
      </c>
      <c r="G170" s="4">
        <v>137359.40021539392</v>
      </c>
      <c r="H170" s="4">
        <v>29725.78272441282</v>
      </c>
      <c r="I170" s="4">
        <v>14640.435380474217</v>
      </c>
      <c r="J170" s="4">
        <v>1368.7025046339354</v>
      </c>
      <c r="K170" s="4"/>
      <c r="L170" s="4">
        <v>1189.4292668868079</v>
      </c>
      <c r="M170" s="4">
        <v>0</v>
      </c>
      <c r="N170" s="4">
        <v>125008.47889165394</v>
      </c>
      <c r="O170" s="10">
        <f t="shared" si="55"/>
        <v>1629422.8123303684</v>
      </c>
      <c r="P170" s="72"/>
      <c r="Q170" s="106">
        <f t="shared" si="56"/>
        <v>2977.8759502904959</v>
      </c>
    </row>
    <row r="171" spans="2:17">
      <c r="B171" s="3">
        <v>6</v>
      </c>
      <c r="C171" s="4">
        <v>911320.65715926548</v>
      </c>
      <c r="D171" s="4">
        <v>349651.76072690944</v>
      </c>
      <c r="E171" s="4">
        <v>136603.99833295812</v>
      </c>
      <c r="F171" s="4">
        <v>6992.6459818507692</v>
      </c>
      <c r="G171" s="4">
        <v>142204.23401168399</v>
      </c>
      <c r="H171" s="4">
        <v>30775.549134106615</v>
      </c>
      <c r="I171" s="4">
        <v>15157.079552840361</v>
      </c>
      <c r="J171" s="4">
        <v>1417.1745222041513</v>
      </c>
      <c r="K171" s="4"/>
      <c r="L171" s="4">
        <v>1272.4762974493237</v>
      </c>
      <c r="M171" s="4">
        <v>0</v>
      </c>
      <c r="N171" s="4">
        <v>133736.68430588712</v>
      </c>
      <c r="O171" s="10">
        <f t="shared" si="55"/>
        <v>1729132.2600251557</v>
      </c>
      <c r="P171" s="72"/>
      <c r="Q171" s="106">
        <f t="shared" si="56"/>
        <v>3130.2952320490544</v>
      </c>
    </row>
    <row r="172" spans="2:17">
      <c r="B172" s="3">
        <v>7</v>
      </c>
      <c r="C172" s="4">
        <v>973235.89919144101</v>
      </c>
      <c r="D172" s="4">
        <v>371015.73450453859</v>
      </c>
      <c r="E172" s="4">
        <v>137948.23714750222</v>
      </c>
      <c r="F172" s="4">
        <v>7141.4148846861426</v>
      </c>
      <c r="G172" s="4">
        <v>145247.59947051038</v>
      </c>
      <c r="H172" s="4">
        <v>31435.955983829437</v>
      </c>
      <c r="I172" s="4">
        <v>15481.812403746415</v>
      </c>
      <c r="J172" s="4">
        <v>1447.7704731613296</v>
      </c>
      <c r="K172" s="4"/>
      <c r="L172" s="4">
        <v>1358.9284998852579</v>
      </c>
      <c r="M172" s="4">
        <v>0</v>
      </c>
      <c r="N172" s="4">
        <v>142822.77174649318</v>
      </c>
      <c r="O172" s="10">
        <f t="shared" si="55"/>
        <v>1827136.124305794</v>
      </c>
      <c r="P172" s="72"/>
      <c r="Q172" s="106">
        <f t="shared" ref="Q172:Q200" si="57">SUMPRODUCT($C$45:$N$45,$C172:$N172)/1000</f>
        <v>3265.9361016718881</v>
      </c>
    </row>
    <row r="173" spans="2:17">
      <c r="B173" s="3">
        <v>8</v>
      </c>
      <c r="C173" s="4">
        <v>1036522.4300019084</v>
      </c>
      <c r="D173" s="4">
        <v>392955.21396430884</v>
      </c>
      <c r="E173" s="4">
        <v>139661.85327450285</v>
      </c>
      <c r="F173" s="4">
        <v>7309.4971431986623</v>
      </c>
      <c r="G173" s="4">
        <v>148683.79227983567</v>
      </c>
      <c r="H173" s="4">
        <v>32181.384221908826</v>
      </c>
      <c r="I173" s="4">
        <v>15848.416712758753</v>
      </c>
      <c r="J173" s="4">
        <v>1482.2822300374055</v>
      </c>
      <c r="K173" s="4"/>
      <c r="L173" s="4">
        <v>1447.2954317346284</v>
      </c>
      <c r="M173" s="4">
        <v>0</v>
      </c>
      <c r="N173" s="4">
        <v>152110.09638390137</v>
      </c>
      <c r="O173" s="10">
        <f t="shared" si="55"/>
        <v>1928202.2616440954</v>
      </c>
      <c r="P173" s="72"/>
      <c r="Q173" s="106">
        <f t="shared" si="57"/>
        <v>3408.1868392266229</v>
      </c>
    </row>
    <row r="174" spans="2:17">
      <c r="B174" s="3">
        <v>9</v>
      </c>
      <c r="C174" s="4">
        <v>1102127.9602852336</v>
      </c>
      <c r="D174" s="4">
        <v>415813.12342344678</v>
      </c>
      <c r="E174" s="4">
        <v>141818.23688548262</v>
      </c>
      <c r="F174" s="4">
        <v>7501.5477502476915</v>
      </c>
      <c r="G174" s="4">
        <v>152607.67683838715</v>
      </c>
      <c r="H174" s="4">
        <v>33032.383819996889</v>
      </c>
      <c r="I174" s="4">
        <v>16267.007651968164</v>
      </c>
      <c r="J174" s="4">
        <v>1521.6581456650169</v>
      </c>
      <c r="K174" s="4"/>
      <c r="L174" s="4">
        <v>1538.9003806747196</v>
      </c>
      <c r="M174" s="4">
        <v>0</v>
      </c>
      <c r="N174" s="4">
        <v>161737.73515549567</v>
      </c>
      <c r="O174" s="10">
        <f t="shared" si="55"/>
        <v>2033966.2303365979</v>
      </c>
      <c r="P174" s="72"/>
      <c r="Q174" s="106">
        <f t="shared" si="57"/>
        <v>3559.6673327793405</v>
      </c>
    </row>
    <row r="175" spans="2:17">
      <c r="B175" s="3">
        <v>10</v>
      </c>
      <c r="C175" s="4">
        <v>1169831.7985972422</v>
      </c>
      <c r="D175" s="4">
        <v>439508.69237275684</v>
      </c>
      <c r="E175" s="4">
        <v>144397.25996652152</v>
      </c>
      <c r="F175" s="4">
        <v>7716.5045257613165</v>
      </c>
      <c r="G175" s="4">
        <v>156997.6440265188</v>
      </c>
      <c r="H175" s="4">
        <v>33984.277354415695</v>
      </c>
      <c r="I175" s="4">
        <v>16735.281813641483</v>
      </c>
      <c r="J175" s="4">
        <v>1565.682744617651</v>
      </c>
      <c r="K175" s="4"/>
      <c r="L175" s="4">
        <v>1633.4351954203007</v>
      </c>
      <c r="M175" s="4">
        <v>0</v>
      </c>
      <c r="N175" s="4">
        <v>171673.30150033662</v>
      </c>
      <c r="O175" s="10">
        <f t="shared" si="55"/>
        <v>2144043.8780972324</v>
      </c>
      <c r="P175" s="72"/>
      <c r="Q175" s="106">
        <f t="shared" si="57"/>
        <v>3719.7601038001835</v>
      </c>
    </row>
    <row r="176" spans="2:17">
      <c r="B176" s="3">
        <v>11</v>
      </c>
      <c r="C176" s="4">
        <v>1239411.1004816047</v>
      </c>
      <c r="D176" s="4">
        <v>463960.29462657706</v>
      </c>
      <c r="E176" s="4">
        <v>147378.37376178047</v>
      </c>
      <c r="F176" s="4">
        <v>7953.270803831776</v>
      </c>
      <c r="G176" s="4">
        <v>161831.38067250888</v>
      </c>
      <c r="H176" s="4">
        <v>35032.234762374952</v>
      </c>
      <c r="I176" s="4">
        <v>17250.86069399814</v>
      </c>
      <c r="J176" s="4">
        <v>1614.1334944120374</v>
      </c>
      <c r="K176" s="4"/>
      <c r="L176" s="4">
        <v>1730.5887184370067</v>
      </c>
      <c r="M176" s="4">
        <v>0</v>
      </c>
      <c r="N176" s="4">
        <v>181884.09290205815</v>
      </c>
      <c r="O176" s="10">
        <f t="shared" si="55"/>
        <v>2258046.3309175833</v>
      </c>
      <c r="P176" s="72"/>
      <c r="Q176" s="106">
        <f t="shared" si="57"/>
        <v>3887.8372285141895</v>
      </c>
    </row>
    <row r="177" spans="2:17">
      <c r="B177" s="3">
        <v>12</v>
      </c>
      <c r="C177" s="4">
        <v>1310624.1560814579</v>
      </c>
      <c r="D177" s="4">
        <v>489079.34200447175</v>
      </c>
      <c r="E177" s="4">
        <v>150739.11869395166</v>
      </c>
      <c r="F177" s="4">
        <v>8210.6247055853819</v>
      </c>
      <c r="G177" s="4">
        <v>167084.02130736705</v>
      </c>
      <c r="H177" s="4">
        <v>36170.873034068456</v>
      </c>
      <c r="I177" s="4">
        <v>17811.093632502416</v>
      </c>
      <c r="J177" s="4">
        <v>1666.7623389257305</v>
      </c>
      <c r="K177" s="4"/>
      <c r="L177" s="4">
        <v>1830.0234504469463</v>
      </c>
      <c r="M177" s="4">
        <v>0</v>
      </c>
      <c r="N177" s="4">
        <v>192334.63833894348</v>
      </c>
      <c r="O177" s="10">
        <f t="shared" si="55"/>
        <v>2375550.6535877204</v>
      </c>
      <c r="P177" s="72"/>
      <c r="Q177" s="106">
        <f t="shared" si="57"/>
        <v>4063.2121482199086</v>
      </c>
    </row>
    <row r="178" spans="2:17">
      <c r="B178" s="3">
        <v>13</v>
      </c>
      <c r="C178" s="4">
        <v>1383217.7505056784</v>
      </c>
      <c r="D178" s="4">
        <v>514772.93329417025</v>
      </c>
      <c r="E178" s="4">
        <v>154455.64676779296</v>
      </c>
      <c r="F178" s="4">
        <v>8487.251342126192</v>
      </c>
      <c r="G178" s="4">
        <v>172728.80428383639</v>
      </c>
      <c r="H178" s="4">
        <v>37394.398329830903</v>
      </c>
      <c r="I178" s="4">
        <v>18413.127769459516</v>
      </c>
      <c r="J178" s="4">
        <v>1723.3022553993997</v>
      </c>
      <c r="K178" s="4"/>
      <c r="L178" s="4">
        <v>1931.385827702185</v>
      </c>
      <c r="M178" s="4">
        <v>0</v>
      </c>
      <c r="N178" s="4">
        <v>202987.77842072796</v>
      </c>
      <c r="O178" s="10">
        <f t="shared" si="55"/>
        <v>2496112.3787967241</v>
      </c>
      <c r="P178" s="72"/>
      <c r="Q178" s="106">
        <f t="shared" si="57"/>
        <v>4245.1592545453987</v>
      </c>
    </row>
    <row r="179" spans="2:17">
      <c r="B179" s="3">
        <v>14</v>
      </c>
      <c r="C179" s="4">
        <v>1456952.2113175588</v>
      </c>
      <c r="D179" s="4">
        <v>540952.98066927819</v>
      </c>
      <c r="E179" s="4">
        <v>158504.87068391993</v>
      </c>
      <c r="F179" s="4">
        <v>8781.8745645829695</v>
      </c>
      <c r="G179" s="4">
        <v>178739.7558949645</v>
      </c>
      <c r="H179" s="4">
        <v>38697.187345572413</v>
      </c>
      <c r="I179" s="4">
        <v>19054.194231339559</v>
      </c>
      <c r="J179" s="4">
        <v>1783.4940751849676</v>
      </c>
      <c r="K179" s="4"/>
      <c r="L179" s="4">
        <v>2034.3411957729506</v>
      </c>
      <c r="M179" s="4">
        <v>0</v>
      </c>
      <c r="N179" s="4">
        <v>213808.34111794765</v>
      </c>
      <c r="O179" s="10">
        <f t="shared" si="55"/>
        <v>2619309.2510961224</v>
      </c>
      <c r="P179" s="72"/>
      <c r="Q179" s="106">
        <f t="shared" si="57"/>
        <v>4432.9851810879536</v>
      </c>
    </row>
    <row r="180" spans="2:17">
      <c r="B180" s="3">
        <v>15</v>
      </c>
      <c r="C180" s="4">
        <v>1531588.5843996177</v>
      </c>
      <c r="D180" s="4">
        <v>567531.52578868554</v>
      </c>
      <c r="E180" s="4">
        <v>162863.32620930215</v>
      </c>
      <c r="F180" s="4">
        <v>9093.1877433251611</v>
      </c>
      <c r="G180" s="4">
        <v>185090.28025190294</v>
      </c>
      <c r="H180" s="4">
        <v>40073.481897792895</v>
      </c>
      <c r="I180" s="4">
        <v>19731.457783071757</v>
      </c>
      <c r="J180" s="4">
        <v>1847.0723947358936</v>
      </c>
      <c r="K180" s="4"/>
      <c r="L180" s="4">
        <v>2138.555903218024</v>
      </c>
      <c r="M180" s="4">
        <v>0</v>
      </c>
      <c r="N180" s="4">
        <v>224761.25981478277</v>
      </c>
      <c r="O180" s="10">
        <f t="shared" si="55"/>
        <v>2744718.7321864357</v>
      </c>
      <c r="P180" s="72"/>
      <c r="Q180" s="106">
        <f t="shared" si="57"/>
        <v>4625.9919056260751</v>
      </c>
    </row>
    <row r="181" spans="2:17">
      <c r="B181" s="3">
        <v>16</v>
      </c>
      <c r="C181" s="4">
        <v>1606876.3286652376</v>
      </c>
      <c r="D181" s="4">
        <v>594416.24196966691</v>
      </c>
      <c r="E181" s="4">
        <v>167506.06919455825</v>
      </c>
      <c r="F181" s="4">
        <v>9419.7866348466741</v>
      </c>
      <c r="G181" s="4">
        <v>191751.7916890858</v>
      </c>
      <c r="H181" s="4">
        <v>41517.092719374472</v>
      </c>
      <c r="I181" s="4">
        <v>20441.871014597411</v>
      </c>
      <c r="J181" s="4">
        <v>1913.7519114840995</v>
      </c>
      <c r="K181" s="4"/>
      <c r="L181" s="4">
        <v>2243.6801197205414</v>
      </c>
      <c r="M181" s="4">
        <v>0</v>
      </c>
      <c r="N181" s="4">
        <v>235809.76750288831</v>
      </c>
      <c r="O181" s="10">
        <f t="shared" si="55"/>
        <v>2871896.3814214598</v>
      </c>
      <c r="P181" s="72"/>
      <c r="Q181" s="106">
        <f t="shared" si="57"/>
        <v>4823.4411978143889</v>
      </c>
    </row>
    <row r="182" spans="2:17">
      <c r="B182" s="3">
        <v>17</v>
      </c>
      <c r="C182" s="4">
        <v>1682658.1506257229</v>
      </c>
      <c r="D182" s="4">
        <v>621548.85403951956</v>
      </c>
      <c r="E182" s="4">
        <v>172416.40652724414</v>
      </c>
      <c r="F182" s="4">
        <v>9760.7654204563405</v>
      </c>
      <c r="G182" s="4">
        <v>198705.85749916919</v>
      </c>
      <c r="H182" s="4">
        <v>43024.029485379157</v>
      </c>
      <c r="I182" s="4">
        <v>21183.469015264302</v>
      </c>
      <c r="J182" s="4">
        <v>1983.3487550651507</v>
      </c>
      <c r="K182" s="4"/>
      <c r="L182" s="4">
        <v>2349.4942165092966</v>
      </c>
      <c r="M182" s="4">
        <v>0</v>
      </c>
      <c r="N182" s="4">
        <v>246930.78129757853</v>
      </c>
      <c r="O182" s="10">
        <f t="shared" si="55"/>
        <v>3000561.1568819089</v>
      </c>
      <c r="P182" s="72"/>
      <c r="Q182" s="106">
        <f t="shared" si="57"/>
        <v>5024.8623094973655</v>
      </c>
    </row>
    <row r="183" spans="2:17">
      <c r="B183" s="3">
        <v>18</v>
      </c>
      <c r="C183" s="4">
        <v>1758895.8284704699</v>
      </c>
      <c r="D183" s="4">
        <v>648914.78214838961</v>
      </c>
      <c r="E183" s="4">
        <v>177588.88958372315</v>
      </c>
      <c r="F183" s="4">
        <v>10115.900940772903</v>
      </c>
      <c r="G183" s="4">
        <v>205947.95126782375</v>
      </c>
      <c r="H183" s="4">
        <v>44593.313761008729</v>
      </c>
      <c r="I183" s="4">
        <v>21955.769560049313</v>
      </c>
      <c r="J183" s="4">
        <v>2055.8179915035284</v>
      </c>
      <c r="K183" s="4"/>
      <c r="L183" s="4">
        <v>2455.9448245010171</v>
      </c>
      <c r="M183" s="4">
        <v>0</v>
      </c>
      <c r="N183" s="4">
        <v>258118.69213229918</v>
      </c>
      <c r="O183" s="10">
        <f t="shared" si="55"/>
        <v>3130642.8906805413</v>
      </c>
      <c r="P183" s="72"/>
      <c r="Q183" s="106">
        <f t="shared" si="57"/>
        <v>5230.135498341956</v>
      </c>
    </row>
    <row r="184" spans="2:17">
      <c r="B184" s="3">
        <v>19</v>
      </c>
      <c r="C184" s="4">
        <v>1835574.0679320879</v>
      </c>
      <c r="D184" s="4">
        <v>676508.03079094493</v>
      </c>
      <c r="E184" s="4">
        <v>183020.8012733103</v>
      </c>
      <c r="F184" s="4">
        <v>10485.132306397581</v>
      </c>
      <c r="G184" s="4">
        <v>213476.85140020819</v>
      </c>
      <c r="H184" s="4">
        <v>46224.682811629827</v>
      </c>
      <c r="I184" s="4">
        <v>22758.642768488768</v>
      </c>
      <c r="J184" s="4">
        <v>2131.1476939228701</v>
      </c>
      <c r="K184" s="4"/>
      <c r="L184" s="4">
        <v>2563.0105883224996</v>
      </c>
      <c r="M184" s="4">
        <v>0</v>
      </c>
      <c r="N184" s="4">
        <v>269371.25556696905</v>
      </c>
      <c r="O184" s="10">
        <f t="shared" si="55"/>
        <v>3262113.6231322815</v>
      </c>
      <c r="P184" s="72"/>
      <c r="Q184" s="106">
        <f t="shared" si="57"/>
        <v>5439.2152410270919</v>
      </c>
    </row>
    <row r="185" spans="2:17">
      <c r="B185" s="3">
        <v>20</v>
      </c>
      <c r="C185" s="4">
        <v>1912621.5509714065</v>
      </c>
      <c r="D185" s="4">
        <v>704482.8637240408</v>
      </c>
      <c r="E185" s="4">
        <v>189304.21383756056</v>
      </c>
      <c r="F185" s="4">
        <v>10893.836531156223</v>
      </c>
      <c r="G185" s="4">
        <v>221807.50972921465</v>
      </c>
      <c r="H185" s="4">
        <v>48029.471070399995</v>
      </c>
      <c r="I185" s="4">
        <v>23646.953765456088</v>
      </c>
      <c r="J185" s="4">
        <v>2214.4531148043307</v>
      </c>
      <c r="K185" s="4"/>
      <c r="L185" s="4">
        <v>2670.5919266532592</v>
      </c>
      <c r="M185" s="4">
        <v>0</v>
      </c>
      <c r="N185" s="4">
        <v>280678.00564976863</v>
      </c>
      <c r="O185" s="10">
        <f t="shared" si="55"/>
        <v>3396349.4503204613</v>
      </c>
      <c r="P185" s="72"/>
      <c r="Q185" s="106">
        <f t="shared" si="57"/>
        <v>5657.8788331167598</v>
      </c>
    </row>
    <row r="186" spans="2:17">
      <c r="B186" s="3">
        <v>21</v>
      </c>
      <c r="C186" s="4">
        <v>1989896.6253062426</v>
      </c>
      <c r="D186" s="4">
        <v>732966.23578336358</v>
      </c>
      <c r="E186" s="4">
        <v>197019.58427866671</v>
      </c>
      <c r="F186" s="4">
        <v>11366.765795921725</v>
      </c>
      <c r="G186" s="4">
        <v>231442.16502732606</v>
      </c>
      <c r="H186" s="4">
        <v>50116.26101612996</v>
      </c>
      <c r="I186" s="4">
        <v>24674.212509796176</v>
      </c>
      <c r="J186" s="4">
        <v>2310.7227177806094</v>
      </c>
      <c r="K186" s="4"/>
      <c r="L186" s="4">
        <v>2778.4910505261082</v>
      </c>
      <c r="M186" s="4">
        <v>0</v>
      </c>
      <c r="N186" s="4">
        <v>292018.15484955336</v>
      </c>
      <c r="O186" s="10">
        <f t="shared" si="55"/>
        <v>3534589.2183353072</v>
      </c>
      <c r="P186" s="72"/>
      <c r="Q186" s="106">
        <f t="shared" si="57"/>
        <v>5891.6453874374502</v>
      </c>
    </row>
    <row r="187" spans="2:17">
      <c r="B187" s="3">
        <v>22</v>
      </c>
      <c r="C187" s="4">
        <v>2067238.7411163866</v>
      </c>
      <c r="D187" s="4">
        <v>761512.07519299304</v>
      </c>
      <c r="E187" s="4">
        <v>204866.89973136567</v>
      </c>
      <c r="F187" s="4">
        <v>11847.913575573566</v>
      </c>
      <c r="G187" s="4">
        <v>241244.25034910397</v>
      </c>
      <c r="H187" s="4">
        <v>52239.314977456728</v>
      </c>
      <c r="I187" s="4">
        <v>25719.322848257136</v>
      </c>
      <c r="J187" s="4">
        <v>2408.6652837644847</v>
      </c>
      <c r="K187" s="4"/>
      <c r="L187" s="4">
        <v>2886.4837843567757</v>
      </c>
      <c r="M187" s="4">
        <v>0</v>
      </c>
      <c r="N187" s="4">
        <v>303368.14241363748</v>
      </c>
      <c r="O187" s="10">
        <f t="shared" si="55"/>
        <v>3673331.8092728951</v>
      </c>
      <c r="P187" s="72"/>
      <c r="Q187" s="106">
        <f t="shared" si="57"/>
        <v>6127.230765700293</v>
      </c>
    </row>
    <row r="188" spans="2:17">
      <c r="B188" s="3">
        <v>23</v>
      </c>
      <c r="C188" s="4">
        <v>2144503.1620937036</v>
      </c>
      <c r="D188" s="4">
        <v>790068.34848989279</v>
      </c>
      <c r="E188" s="4">
        <v>212836.07473637292</v>
      </c>
      <c r="F188" s="4">
        <v>12336.666216024991</v>
      </c>
      <c r="G188" s="4">
        <v>251201.26415142423</v>
      </c>
      <c r="H188" s="4">
        <v>54395.925219262615</v>
      </c>
      <c r="I188" s="4">
        <v>26780.95185100448</v>
      </c>
      <c r="J188" s="4">
        <v>2508.155897171961</v>
      </c>
      <c r="K188" s="4"/>
      <c r="L188" s="4">
        <v>2994.3680329551253</v>
      </c>
      <c r="M188" s="4">
        <v>0</v>
      </c>
      <c r="N188" s="4">
        <v>314706.72822878894</v>
      </c>
      <c r="O188" s="10">
        <f t="shared" si="55"/>
        <v>3812331.6449166015</v>
      </c>
      <c r="P188" s="72"/>
      <c r="Q188" s="106">
        <f t="shared" si="57"/>
        <v>6364.2534465176377</v>
      </c>
    </row>
    <row r="189" spans="2:17">
      <c r="B189" s="3">
        <v>24</v>
      </c>
      <c r="C189" s="4">
        <v>2221525.3730239817</v>
      </c>
      <c r="D189" s="4">
        <v>818575.625570887</v>
      </c>
      <c r="E189" s="4">
        <v>220914.69677129557</v>
      </c>
      <c r="F189" s="4">
        <v>12832.267053598836</v>
      </c>
      <c r="G189" s="4">
        <v>261297.79145735639</v>
      </c>
      <c r="H189" s="4">
        <v>56582.752979767683</v>
      </c>
      <c r="I189" s="4">
        <v>27857.455954324116</v>
      </c>
      <c r="J189" s="4">
        <v>2609.0405313499764</v>
      </c>
      <c r="K189" s="4"/>
      <c r="L189" s="4">
        <v>3101.9140838604462</v>
      </c>
      <c r="M189" s="4">
        <v>0</v>
      </c>
      <c r="N189" s="4">
        <v>326009.76961910812</v>
      </c>
      <c r="O189" s="10">
        <f t="shared" si="55"/>
        <v>3951306.68704553</v>
      </c>
      <c r="P189" s="72"/>
      <c r="Q189" s="106">
        <f t="shared" si="57"/>
        <v>6602.2675297258365</v>
      </c>
    </row>
    <row r="190" spans="2:17">
      <c r="B190" s="3">
        <v>25</v>
      </c>
      <c r="C190" s="4">
        <v>2298129.3872947195</v>
      </c>
      <c r="D190" s="4">
        <v>846970.1091530323</v>
      </c>
      <c r="E190" s="4">
        <v>229088.74733981819</v>
      </c>
      <c r="F190" s="4">
        <v>13333.860502598833</v>
      </c>
      <c r="G190" s="4">
        <v>271516.40202124708</v>
      </c>
      <c r="H190" s="4">
        <v>58796.023005965399</v>
      </c>
      <c r="I190" s="4">
        <v>28946.976724083288</v>
      </c>
      <c r="J190" s="4">
        <v>2711.1450230537735</v>
      </c>
      <c r="K190" s="4"/>
      <c r="L190" s="4">
        <v>3208.87620710786</v>
      </c>
      <c r="M190" s="4">
        <v>0</v>
      </c>
      <c r="N190" s="4">
        <v>337251.44047623966</v>
      </c>
      <c r="O190" s="10">
        <f t="shared" si="55"/>
        <v>4089952.9677478652</v>
      </c>
      <c r="P190" s="72"/>
      <c r="Q190" s="106">
        <f t="shared" si="57"/>
        <v>6840.7864695744556</v>
      </c>
    </row>
    <row r="191" spans="2:17">
      <c r="B191" s="3">
        <v>26</v>
      </c>
      <c r="C191" s="4">
        <v>2374117.0460388707</v>
      </c>
      <c r="D191" s="4">
        <v>875179.62870226102</v>
      </c>
      <c r="E191" s="4">
        <v>237341.32866428292</v>
      </c>
      <c r="F191" s="4">
        <v>13840.413791571122</v>
      </c>
      <c r="G191" s="4">
        <v>281836.05591661891</v>
      </c>
      <c r="H191" s="4">
        <v>61031.178216603425</v>
      </c>
      <c r="I191" s="4">
        <v>30047.270857560165</v>
      </c>
      <c r="J191" s="4">
        <v>2814.2591410601331</v>
      </c>
      <c r="K191" s="4"/>
      <c r="L191" s="4">
        <v>3314.9777136313778</v>
      </c>
      <c r="M191" s="4">
        <v>0</v>
      </c>
      <c r="N191" s="4">
        <v>348402.66090428061</v>
      </c>
      <c r="O191" s="10">
        <f t="shared" si="55"/>
        <v>4227924.8199467408</v>
      </c>
      <c r="P191" s="72"/>
      <c r="Q191" s="106">
        <f t="shared" si="57"/>
        <v>7079.2480596392315</v>
      </c>
    </row>
    <row r="192" spans="2:17">
      <c r="B192" s="3">
        <v>27</v>
      </c>
      <c r="C192" s="4">
        <v>2449264.1135521373</v>
      </c>
      <c r="D192" s="4">
        <v>903122.13200532296</v>
      </c>
      <c r="E192" s="4">
        <v>245652.04424440337</v>
      </c>
      <c r="F192" s="4">
        <v>14350.678753851656</v>
      </c>
      <c r="G192" s="4">
        <v>292231.32512186561</v>
      </c>
      <c r="H192" s="4">
        <v>63282.711103817091</v>
      </c>
      <c r="I192" s="4">
        <v>31155.627187957587</v>
      </c>
      <c r="J192" s="4">
        <v>2918.1288082413557</v>
      </c>
      <c r="K192" s="4"/>
      <c r="L192" s="4">
        <v>3419.9055032982196</v>
      </c>
      <c r="M192" s="4">
        <v>0</v>
      </c>
      <c r="N192" s="4">
        <v>359430.52422064845</v>
      </c>
      <c r="O192" s="10">
        <f t="shared" si="55"/>
        <v>4364827.1905015428</v>
      </c>
      <c r="P192" s="72"/>
      <c r="Q192" s="106">
        <f t="shared" si="57"/>
        <v>7316.9996586905372</v>
      </c>
    </row>
    <row r="193" spans="2:17">
      <c r="B193" s="3">
        <v>28</v>
      </c>
      <c r="C193" s="4">
        <v>2523330.6584819136</v>
      </c>
      <c r="D193" s="4">
        <v>930709.46002353635</v>
      </c>
      <c r="E193" s="4">
        <v>253997.86409261305</v>
      </c>
      <c r="F193" s="4">
        <v>14863.244685247355</v>
      </c>
      <c r="G193" s="4">
        <v>302673.47035261511</v>
      </c>
      <c r="H193" s="4">
        <v>65544.396966481174</v>
      </c>
      <c r="I193" s="4">
        <v>32268.98149758808</v>
      </c>
      <c r="J193" s="4">
        <v>3022.4668612884589</v>
      </c>
      <c r="K193" s="4"/>
      <c r="L193" s="4">
        <v>3523.3245601545532</v>
      </c>
      <c r="M193" s="4">
        <v>0</v>
      </c>
      <c r="N193" s="4">
        <v>370299.82039986388</v>
      </c>
      <c r="O193" s="10">
        <f t="shared" si="55"/>
        <v>4500233.6879213024</v>
      </c>
      <c r="P193" s="72"/>
      <c r="Q193" s="106">
        <f t="shared" si="57"/>
        <v>7553.3273855233647</v>
      </c>
    </row>
    <row r="194" spans="2:17">
      <c r="B194" s="3">
        <v>29</v>
      </c>
      <c r="C194" s="4">
        <v>2596044.49696904</v>
      </c>
      <c r="D194" s="4">
        <v>957841.11516024522</v>
      </c>
      <c r="E194" s="4">
        <v>262351.0439653456</v>
      </c>
      <c r="F194" s="4">
        <v>15376.410352887964</v>
      </c>
      <c r="G194" s="4">
        <v>313127.83358808549</v>
      </c>
      <c r="H194" s="4">
        <v>67808.729152092943</v>
      </c>
      <c r="I194" s="4">
        <v>33383.638505841351</v>
      </c>
      <c r="J194" s="4">
        <v>3126.9269968000863</v>
      </c>
      <c r="K194" s="4"/>
      <c r="L194" s="4">
        <v>3624.8548340976977</v>
      </c>
      <c r="M194" s="4">
        <v>0</v>
      </c>
      <c r="N194" s="4">
        <v>380970.60634773748</v>
      </c>
      <c r="O194" s="10">
        <f t="shared" si="55"/>
        <v>4633655.6558721745</v>
      </c>
      <c r="P194" s="72"/>
      <c r="Q194" s="106">
        <f t="shared" si="57"/>
        <v>7787.4005143904096</v>
      </c>
    </row>
    <row r="195" spans="2:17">
      <c r="B195" s="3">
        <v>30</v>
      </c>
      <c r="C195" s="4">
        <v>2667127.1907260213</v>
      </c>
      <c r="D195" s="4">
        <v>984413.8575097979</v>
      </c>
      <c r="E195" s="4">
        <v>270681.76564493973</v>
      </c>
      <c r="F195" s="4">
        <v>15888.345883143342</v>
      </c>
      <c r="G195" s="4">
        <v>323557.13609976682</v>
      </c>
      <c r="H195" s="4">
        <v>70067.633383634995</v>
      </c>
      <c r="I195" s="4">
        <v>34495.623509040444</v>
      </c>
      <c r="J195" s="4">
        <v>3231.1367252286555</v>
      </c>
      <c r="K195" s="4"/>
      <c r="L195" s="4">
        <v>3724.107541971739</v>
      </c>
      <c r="M195" s="4">
        <v>0</v>
      </c>
      <c r="N195" s="4">
        <v>391402.02113012853</v>
      </c>
      <c r="O195" s="10">
        <f t="shared" si="55"/>
        <v>4764588.8181536729</v>
      </c>
      <c r="P195" s="72"/>
      <c r="Q195" s="106">
        <f t="shared" si="57"/>
        <v>8018.3506972567875</v>
      </c>
    </row>
    <row r="196" spans="2:17">
      <c r="B196" s="3">
        <v>31</v>
      </c>
      <c r="C196" s="4">
        <v>2736300.3145942395</v>
      </c>
      <c r="D196" s="4">
        <v>1010323.9877423089</v>
      </c>
      <c r="E196" s="4">
        <v>278958.67208344431</v>
      </c>
      <c r="F196" s="4">
        <v>16397.125469793238</v>
      </c>
      <c r="G196" s="4">
        <v>333922.14479196083</v>
      </c>
      <c r="H196" s="4">
        <v>72312.612083652843</v>
      </c>
      <c r="I196" s="4">
        <v>35600.753426485899</v>
      </c>
      <c r="J196" s="4">
        <v>3334.7040289638289</v>
      </c>
      <c r="K196" s="4"/>
      <c r="L196" s="4">
        <v>3820.6939189526033</v>
      </c>
      <c r="M196" s="4">
        <v>0</v>
      </c>
      <c r="N196" s="4">
        <v>401553.2057395642</v>
      </c>
      <c r="O196" s="10">
        <f t="shared" si="55"/>
        <v>4892524.2138793664</v>
      </c>
      <c r="P196" s="72"/>
      <c r="Q196" s="106">
        <f t="shared" si="57"/>
        <v>8245.289754635407</v>
      </c>
    </row>
    <row r="197" spans="2:17">
      <c r="B197" s="3">
        <v>32</v>
      </c>
      <c r="C197" s="4">
        <v>2803277.7965615718</v>
      </c>
      <c r="D197" s="4">
        <v>1035464.4385593676</v>
      </c>
      <c r="E197" s="4">
        <v>287147.82030914223</v>
      </c>
      <c r="F197" s="4">
        <v>16900.662895781807</v>
      </c>
      <c r="G197" s="4">
        <v>344180.35863183322</v>
      </c>
      <c r="H197" s="4">
        <v>74534.45986541934</v>
      </c>
      <c r="I197" s="4">
        <v>36694.496746019606</v>
      </c>
      <c r="J197" s="4">
        <v>3437.204237124246</v>
      </c>
      <c r="K197" s="4"/>
      <c r="L197" s="4">
        <v>3914.2145229208454</v>
      </c>
      <c r="M197" s="4">
        <v>0</v>
      </c>
      <c r="N197" s="4">
        <v>411382.17898964928</v>
      </c>
      <c r="O197" s="10">
        <f t="shared" si="55"/>
        <v>5016933.6313188281</v>
      </c>
      <c r="P197" s="72"/>
      <c r="Q197" s="106">
        <f t="shared" si="57"/>
        <v>8467.2828609408807</v>
      </c>
    </row>
    <row r="198" spans="2:17">
      <c r="B198" s="3">
        <v>33</v>
      </c>
      <c r="C198" s="4">
        <v>2867799.0025800895</v>
      </c>
      <c r="D198" s="4">
        <v>1059737.1353201652</v>
      </c>
      <c r="E198" s="4">
        <v>295216.53425898741</v>
      </c>
      <c r="F198" s="4">
        <v>17396.9482737455</v>
      </c>
      <c r="G198" s="4">
        <v>354290.83159768791</v>
      </c>
      <c r="H198" s="4">
        <v>76724.308145290444</v>
      </c>
      <c r="I198" s="4">
        <v>37772.487752674941</v>
      </c>
      <c r="J198" s="4">
        <v>3538.2282165203769</v>
      </c>
      <c r="K198" s="4"/>
      <c r="L198" s="4">
        <v>4004.3054307658767</v>
      </c>
      <c r="M198" s="4">
        <v>0</v>
      </c>
      <c r="N198" s="4">
        <v>420850.69272578158</v>
      </c>
      <c r="O198" s="10">
        <f t="shared" si="55"/>
        <v>5137330.4743017089</v>
      </c>
      <c r="P198" s="72"/>
      <c r="Q198" s="106">
        <f t="shared" si="57"/>
        <v>8683.4557204624725</v>
      </c>
    </row>
    <row r="199" spans="2:17">
      <c r="B199" s="3">
        <v>34</v>
      </c>
      <c r="C199" s="4">
        <v>2929703.7660821564</v>
      </c>
      <c r="D199" s="4">
        <v>1083081.3569633721</v>
      </c>
      <c r="E199" s="4">
        <v>303143.23555270454</v>
      </c>
      <c r="F199" s="4">
        <v>17884.653084204248</v>
      </c>
      <c r="G199" s="4">
        <v>364226.49869651021</v>
      </c>
      <c r="H199" s="4">
        <v>78876.294860373702</v>
      </c>
      <c r="I199" s="4">
        <v>38831.840743758905</v>
      </c>
      <c r="J199" s="4">
        <v>3637.5055333845921</v>
      </c>
      <c r="K199" s="4"/>
      <c r="L199" s="4">
        <v>4090.7430020386846</v>
      </c>
      <c r="M199" s="4">
        <v>0</v>
      </c>
      <c r="N199" s="4">
        <v>429935.24243774929</v>
      </c>
      <c r="O199" s="10">
        <f t="shared" si="55"/>
        <v>5253411.1369562512</v>
      </c>
      <c r="P199" s="72"/>
      <c r="Q199" s="106">
        <f t="shared" si="57"/>
        <v>8893.2517268439478</v>
      </c>
    </row>
    <row r="200" spans="2:17">
      <c r="B200" s="3">
        <v>35</v>
      </c>
      <c r="C200" s="4">
        <v>2970075.6209992752</v>
      </c>
      <c r="D200" s="4">
        <v>1098331.5772940712</v>
      </c>
      <c r="E200" s="4">
        <v>308399.09026517655</v>
      </c>
      <c r="F200" s="4">
        <v>18208.099433653224</v>
      </c>
      <c r="G200" s="4">
        <v>370815.84369278268</v>
      </c>
      <c r="H200" s="4">
        <v>80303.494740566923</v>
      </c>
      <c r="I200" s="4">
        <v>39534.404775107418</v>
      </c>
      <c r="J200" s="4">
        <v>3703.3463556078041</v>
      </c>
      <c r="K200" s="4"/>
      <c r="L200" s="4">
        <v>4147.1141904480792</v>
      </c>
      <c r="M200" s="4">
        <v>0</v>
      </c>
      <c r="N200" s="4">
        <v>435859.82888652361</v>
      </c>
      <c r="O200" s="10">
        <f t="shared" si="55"/>
        <v>5329378.4206332127</v>
      </c>
      <c r="P200" s="72"/>
      <c r="Q200" s="107">
        <f t="shared" si="57"/>
        <v>9031.1868210244229</v>
      </c>
    </row>
    <row r="201" spans="2:17">
      <c r="B201" s="55" t="s">
        <v>4</v>
      </c>
      <c r="C201" s="56">
        <f t="shared" ref="C201:O201" si="58">SUM(C166:C200)</f>
        <v>62330343.241769984</v>
      </c>
      <c r="D201" s="56">
        <f t="shared" si="58"/>
        <v>23159388.468049332</v>
      </c>
      <c r="E201" s="56">
        <f t="shared" si="58"/>
        <v>6836132.3668312272</v>
      </c>
      <c r="F201" s="56">
        <f t="shared" si="58"/>
        <v>384262.12449380697</v>
      </c>
      <c r="G201" s="56">
        <f t="shared" si="58"/>
        <v>7822097.1898415396</v>
      </c>
      <c r="H201" s="56">
        <f t="shared" si="58"/>
        <v>1693594.6317111037</v>
      </c>
      <c r="I201" s="56">
        <f t="shared" si="58"/>
        <v>833880.69616891688</v>
      </c>
      <c r="J201" s="56">
        <f t="shared" si="58"/>
        <v>78066.615450329904</v>
      </c>
      <c r="K201" s="56">
        <f t="shared" si="58"/>
        <v>0</v>
      </c>
      <c r="L201" s="56">
        <f t="shared" si="58"/>
        <v>87029.61016137831</v>
      </c>
      <c r="M201" s="56">
        <f t="shared" si="58"/>
        <v>0</v>
      </c>
      <c r="N201" s="56">
        <f t="shared" si="58"/>
        <v>9148608.1581784692</v>
      </c>
      <c r="O201" s="56">
        <f t="shared" si="58"/>
        <v>112373403.10265608</v>
      </c>
      <c r="Q201" s="56">
        <f>SUM(Q166:Q200)</f>
        <v>191133.16580692821</v>
      </c>
    </row>
    <row r="202" spans="2:17">
      <c r="B202" s="6"/>
    </row>
    <row r="203" spans="2:17">
      <c r="B203" s="893" t="s">
        <v>239</v>
      </c>
      <c r="C203" s="893"/>
      <c r="D203" s="893"/>
      <c r="E203" s="893"/>
      <c r="F203" s="893"/>
      <c r="G203" s="893"/>
      <c r="H203" s="893"/>
      <c r="I203" s="893"/>
      <c r="J203" s="893"/>
      <c r="K203" s="893"/>
      <c r="L203" s="893"/>
      <c r="M203" s="893"/>
      <c r="N203" s="893"/>
      <c r="O203" s="893"/>
    </row>
    <row r="204" spans="2:17">
      <c r="B204" s="893" t="s">
        <v>31</v>
      </c>
      <c r="C204" s="21" t="s">
        <v>32</v>
      </c>
      <c r="D204" s="21" t="s">
        <v>33</v>
      </c>
      <c r="E204" s="21" t="s">
        <v>34</v>
      </c>
      <c r="F204" s="21" t="s">
        <v>35</v>
      </c>
      <c r="G204" s="21" t="s">
        <v>36</v>
      </c>
      <c r="H204" s="21" t="s">
        <v>37</v>
      </c>
      <c r="I204" s="21" t="s">
        <v>38</v>
      </c>
      <c r="J204" s="21" t="s">
        <v>39</v>
      </c>
      <c r="K204" s="21" t="s">
        <v>40</v>
      </c>
      <c r="L204" s="21" t="s">
        <v>240</v>
      </c>
      <c r="M204" s="21" t="s">
        <v>241</v>
      </c>
      <c r="N204" s="21" t="s">
        <v>242</v>
      </c>
      <c r="O204" s="894" t="s">
        <v>42</v>
      </c>
      <c r="Q204" s="896" t="s">
        <v>325</v>
      </c>
    </row>
    <row r="205" spans="2:17">
      <c r="B205" s="893"/>
      <c r="C205" s="71">
        <v>1</v>
      </c>
      <c r="D205" s="71">
        <v>2</v>
      </c>
      <c r="E205" s="71">
        <v>3</v>
      </c>
      <c r="F205" s="71">
        <v>4</v>
      </c>
      <c r="G205" s="71">
        <v>5</v>
      </c>
      <c r="H205" s="71">
        <v>6</v>
      </c>
      <c r="I205" s="71">
        <v>7</v>
      </c>
      <c r="J205" s="71">
        <v>8</v>
      </c>
      <c r="K205" s="71">
        <v>9</v>
      </c>
      <c r="L205" s="71">
        <v>1.5</v>
      </c>
      <c r="M205" s="71">
        <v>2</v>
      </c>
      <c r="N205" s="71">
        <v>0.5</v>
      </c>
      <c r="O205" s="895"/>
      <c r="Q205" s="897" t="s">
        <v>325</v>
      </c>
    </row>
    <row r="206" spans="2:17">
      <c r="B206" s="3">
        <v>1</v>
      </c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10">
        <f>SUM(C206:N206)</f>
        <v>0</v>
      </c>
      <c r="P206" s="72"/>
      <c r="Q206" s="105">
        <f t="shared" ref="Q206:Q211" si="59">SUMPRODUCT($C$45:$N$45,$C206:$N206)/1000</f>
        <v>0</v>
      </c>
    </row>
    <row r="207" spans="2:17">
      <c r="B207" s="3">
        <v>2</v>
      </c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10">
        <f t="shared" ref="O207:O240" si="60">SUM(C207:N207)</f>
        <v>0</v>
      </c>
      <c r="P207" s="72"/>
      <c r="Q207" s="106">
        <f t="shared" si="59"/>
        <v>0</v>
      </c>
    </row>
    <row r="208" spans="2:17">
      <c r="B208" s="3">
        <v>3</v>
      </c>
      <c r="C208" s="74">
        <v>887168.44437479484</v>
      </c>
      <c r="D208" s="74">
        <v>127713.91244670757</v>
      </c>
      <c r="E208" s="74">
        <v>43363.482292566732</v>
      </c>
      <c r="F208" s="74">
        <v>642.74321840283164</v>
      </c>
      <c r="G208" s="74">
        <v>4674.4961105223483</v>
      </c>
      <c r="H208" s="74">
        <v>759.60561767986792</v>
      </c>
      <c r="I208" s="74">
        <v>5755.4733431166314</v>
      </c>
      <c r="J208" s="74">
        <v>2161.9544525984284</v>
      </c>
      <c r="L208" s="74">
        <v>7372.8624619059401</v>
      </c>
      <c r="M208" s="74">
        <v>0</v>
      </c>
      <c r="N208" s="74">
        <v>116809.56692039908</v>
      </c>
      <c r="O208" s="10">
        <f t="shared" si="60"/>
        <v>1196422.5412386945</v>
      </c>
      <c r="P208" s="72"/>
      <c r="Q208" s="106">
        <f t="shared" si="59"/>
        <v>1430.2358294538749</v>
      </c>
    </row>
    <row r="209" spans="2:17">
      <c r="B209" s="3">
        <v>4</v>
      </c>
      <c r="C209" s="4">
        <v>953153.24613250652</v>
      </c>
      <c r="D209" s="74">
        <v>137672.91429870919</v>
      </c>
      <c r="E209" s="4">
        <v>47090.656046854841</v>
      </c>
      <c r="F209" s="4">
        <v>698.49177436342779</v>
      </c>
      <c r="G209" s="4">
        <v>5079.9401518497807</v>
      </c>
      <c r="H209" s="4">
        <v>825.49027437128871</v>
      </c>
      <c r="I209" s="4">
        <v>6254.6763196113025</v>
      </c>
      <c r="J209" s="4">
        <v>2349.472321840894</v>
      </c>
      <c r="K209" s="74"/>
      <c r="L209" s="4">
        <v>7921.232809183768</v>
      </c>
      <c r="M209" s="74">
        <v>0</v>
      </c>
      <c r="N209" s="4">
        <v>125497.49553814699</v>
      </c>
      <c r="O209" s="10">
        <f t="shared" si="60"/>
        <v>1286543.6156674379</v>
      </c>
      <c r="P209" s="72"/>
      <c r="Q209" s="106">
        <f t="shared" si="59"/>
        <v>1540.1267621682755</v>
      </c>
    </row>
    <row r="210" spans="2:17">
      <c r="B210" s="3">
        <v>5</v>
      </c>
      <c r="C210" s="4">
        <v>1021085.6741931052</v>
      </c>
      <c r="D210" s="74">
        <v>147974.48505511525</v>
      </c>
      <c r="E210" s="4">
        <v>50980.885317738488</v>
      </c>
      <c r="F210" s="4">
        <v>756.72525304747307</v>
      </c>
      <c r="G210" s="4">
        <v>5503.4563583485169</v>
      </c>
      <c r="H210" s="4">
        <v>894.31165790196383</v>
      </c>
      <c r="I210" s="4">
        <v>6776.1306495003428</v>
      </c>
      <c r="J210" s="4">
        <v>2545.3485674808171</v>
      </c>
      <c r="K210" s="74"/>
      <c r="L210" s="4">
        <v>8485.7890126531984</v>
      </c>
      <c r="M210" s="74">
        <v>0</v>
      </c>
      <c r="N210" s="4">
        <v>134441.85954469343</v>
      </c>
      <c r="O210" s="10">
        <f t="shared" si="60"/>
        <v>1379444.6656095847</v>
      </c>
      <c r="P210" s="72"/>
      <c r="Q210" s="106">
        <f t="shared" si="59"/>
        <v>1653.6326693855708</v>
      </c>
    </row>
    <row r="211" spans="2:17">
      <c r="B211" s="3">
        <v>6</v>
      </c>
      <c r="C211" s="4">
        <v>1092378.8023785343</v>
      </c>
      <c r="D211" s="74">
        <v>158836.90777968691</v>
      </c>
      <c r="E211" s="4">
        <v>55119.453875103165</v>
      </c>
      <c r="F211" s="4">
        <v>818.72401668302928</v>
      </c>
      <c r="G211" s="4">
        <v>5954.356455267105</v>
      </c>
      <c r="H211" s="4">
        <v>967.58292362422435</v>
      </c>
      <c r="I211" s="4">
        <v>7331.3013945100429</v>
      </c>
      <c r="J211" s="4">
        <v>2753.8898624486019</v>
      </c>
      <c r="K211" s="74"/>
      <c r="L211" s="4">
        <v>9078.2745005253746</v>
      </c>
      <c r="M211" s="74">
        <v>0</v>
      </c>
      <c r="N211" s="4">
        <v>143828.71215486396</v>
      </c>
      <c r="O211" s="10">
        <f t="shared" si="60"/>
        <v>1477068.0053412467</v>
      </c>
      <c r="P211" s="72"/>
      <c r="Q211" s="106">
        <f t="shared" si="59"/>
        <v>1773.1451519374098</v>
      </c>
    </row>
    <row r="212" spans="2:17">
      <c r="B212" s="3">
        <v>7</v>
      </c>
      <c r="C212" s="4">
        <v>1166595.1579595809</v>
      </c>
      <c r="D212" s="74">
        <v>170198.7858893135</v>
      </c>
      <c r="E212" s="4">
        <v>59486.70321018403</v>
      </c>
      <c r="F212" s="4">
        <v>884.19841254079461</v>
      </c>
      <c r="G212" s="4">
        <v>6430.5338773120402</v>
      </c>
      <c r="H212" s="4">
        <v>1044.9617546780019</v>
      </c>
      <c r="I212" s="4">
        <v>7917.5948461196058</v>
      </c>
      <c r="J212" s="4">
        <v>2974.1219202953353</v>
      </c>
      <c r="K212" s="74"/>
      <c r="L212" s="4">
        <v>9695.0536314699766</v>
      </c>
      <c r="M212" s="74">
        <v>0</v>
      </c>
      <c r="N212" s="4">
        <v>153600.45325859735</v>
      </c>
      <c r="O212" s="10">
        <f t="shared" si="60"/>
        <v>1578827.5647600917</v>
      </c>
      <c r="P212" s="72"/>
      <c r="Q212" s="106">
        <f t="shared" ref="Q212:Q240" si="61">SUMPRODUCT($C$45:$N$45,$C212:$N212)/1000</f>
        <v>1897.9710192952548</v>
      </c>
    </row>
    <row r="213" spans="2:17">
      <c r="B213" s="3">
        <v>8</v>
      </c>
      <c r="C213" s="4">
        <v>1242455.2453945887</v>
      </c>
      <c r="D213" s="74">
        <v>181869.51267543243</v>
      </c>
      <c r="E213" s="4">
        <v>64013.094697127941</v>
      </c>
      <c r="F213" s="4">
        <v>952.11070221477348</v>
      </c>
      <c r="G213" s="4">
        <v>6924.441436113726</v>
      </c>
      <c r="H213" s="4">
        <v>1125.2217329536895</v>
      </c>
      <c r="I213" s="4">
        <v>8525.7185286376025</v>
      </c>
      <c r="J213" s="4">
        <v>3202.5541663976869</v>
      </c>
      <c r="K213" s="74"/>
      <c r="L213" s="4">
        <v>10325.493086967772</v>
      </c>
      <c r="M213" s="74">
        <v>0</v>
      </c>
      <c r="N213" s="4">
        <v>163588.6173056984</v>
      </c>
      <c r="O213" s="10">
        <f t="shared" si="60"/>
        <v>1682982.0097261332</v>
      </c>
      <c r="P213" s="72"/>
      <c r="Q213" s="106">
        <f t="shared" si="61"/>
        <v>2025.9985465389327</v>
      </c>
    </row>
    <row r="214" spans="2:17">
      <c r="B214" s="3">
        <v>9</v>
      </c>
      <c r="C214" s="4">
        <v>1321095.0633744663</v>
      </c>
      <c r="D214" s="74">
        <v>194027.39827932301</v>
      </c>
      <c r="E214" s="4">
        <v>68770.275165680854</v>
      </c>
      <c r="F214" s="4">
        <v>1023.5390239405089</v>
      </c>
      <c r="G214" s="4">
        <v>7443.920136982455</v>
      </c>
      <c r="H214" s="4">
        <v>1209.6370218137399</v>
      </c>
      <c r="I214" s="4">
        <v>9165.326679864138</v>
      </c>
      <c r="J214" s="4">
        <v>3442.8130657141519</v>
      </c>
      <c r="K214" s="74"/>
      <c r="L214" s="4">
        <v>10979.033647017282</v>
      </c>
      <c r="M214" s="74">
        <v>0</v>
      </c>
      <c r="N214" s="4">
        <v>173942.77624718554</v>
      </c>
      <c r="O214" s="10">
        <f t="shared" si="60"/>
        <v>1791099.7826419878</v>
      </c>
      <c r="P214" s="72"/>
      <c r="Q214" s="106">
        <f t="shared" si="61"/>
        <v>2159.1719942205923</v>
      </c>
    </row>
    <row r="215" spans="2:17">
      <c r="B215" s="3">
        <v>10</v>
      </c>
      <c r="C215" s="4">
        <v>1402250.0742158114</v>
      </c>
      <c r="D215" s="74">
        <v>206636.96343541413</v>
      </c>
      <c r="E215" s="4">
        <v>73748.154139280028</v>
      </c>
      <c r="F215" s="4">
        <v>1098.3366633210048</v>
      </c>
      <c r="G215" s="4">
        <v>7987.902966127217</v>
      </c>
      <c r="H215" s="4">
        <v>1298.0342315171781</v>
      </c>
      <c r="I215" s="4">
        <v>9835.1055390674228</v>
      </c>
      <c r="J215" s="4">
        <v>3694.4051243660501</v>
      </c>
      <c r="K215" s="74"/>
      <c r="L215" s="4">
        <v>11653.476856558384</v>
      </c>
      <c r="M215" s="74">
        <v>0</v>
      </c>
      <c r="N215" s="4">
        <v>184628.09956983628</v>
      </c>
      <c r="O215" s="10">
        <f t="shared" si="60"/>
        <v>1902830.5527412989</v>
      </c>
      <c r="P215" s="72"/>
      <c r="Q215" s="106">
        <f t="shared" si="61"/>
        <v>2297.0847752156592</v>
      </c>
    </row>
    <row r="216" spans="2:17">
      <c r="B216" s="3">
        <v>11</v>
      </c>
      <c r="C216" s="4">
        <v>1485653.1594697996</v>
      </c>
      <c r="D216" s="74">
        <v>219661.80737149058</v>
      </c>
      <c r="E216" s="4">
        <v>78935.914926954778</v>
      </c>
      <c r="F216" s="4">
        <v>1176.3455398399228</v>
      </c>
      <c r="G216" s="4">
        <v>8555.2402470712823</v>
      </c>
      <c r="H216" s="4">
        <v>1390.2265396366038</v>
      </c>
      <c r="I216" s="4">
        <v>10533.639567083752</v>
      </c>
      <c r="J216" s="4">
        <v>3956.7986169825299</v>
      </c>
      <c r="K216" s="74"/>
      <c r="L216" s="4">
        <v>12346.602812937068</v>
      </c>
      <c r="M216" s="74">
        <v>0</v>
      </c>
      <c r="N216" s="4">
        <v>195609.41696239644</v>
      </c>
      <c r="O216" s="10">
        <f t="shared" si="60"/>
        <v>2017819.1520541923</v>
      </c>
      <c r="P216" s="72"/>
      <c r="Q216" s="106">
        <f t="shared" si="61"/>
        <v>2439.3219402322306</v>
      </c>
    </row>
    <row r="217" spans="2:17">
      <c r="B217" s="3">
        <v>12</v>
      </c>
      <c r="C217" s="4">
        <v>1571014.5871722864</v>
      </c>
      <c r="D217" s="74">
        <v>233061.45424957806</v>
      </c>
      <c r="E217" s="4">
        <v>84320.741183210615</v>
      </c>
      <c r="F217" s="4">
        <v>1257.3770364290999</v>
      </c>
      <c r="G217" s="4">
        <v>9144.5602193257655</v>
      </c>
      <c r="H217" s="4">
        <v>1485.9910350926555</v>
      </c>
      <c r="I217" s="4">
        <v>11259.23978380912</v>
      </c>
      <c r="J217" s="4">
        <v>4229.3591043370452</v>
      </c>
      <c r="K217" s="74"/>
      <c r="L217" s="4">
        <v>13056.003682628601</v>
      </c>
      <c r="M217" s="74">
        <v>0</v>
      </c>
      <c r="N217" s="4">
        <v>206848.58069151355</v>
      </c>
      <c r="O217" s="10">
        <f t="shared" si="60"/>
        <v>2135677.8941582106</v>
      </c>
      <c r="P217" s="72"/>
      <c r="Q217" s="106">
        <f t="shared" si="61"/>
        <v>2585.4258218650352</v>
      </c>
    </row>
    <row r="218" spans="2:17">
      <c r="B218" s="3">
        <v>13</v>
      </c>
      <c r="C218" s="4">
        <v>1658030.8345430773</v>
      </c>
      <c r="D218" s="74">
        <v>246792.66226900855</v>
      </c>
      <c r="E218" s="4">
        <v>89888.290717024967</v>
      </c>
      <c r="F218" s="4">
        <v>1341.2190650771881</v>
      </c>
      <c r="G218" s="4">
        <v>9754.3204246340047</v>
      </c>
      <c r="H218" s="4">
        <v>1585.0770684187187</v>
      </c>
      <c r="I218" s="4">
        <v>12010.007037512696</v>
      </c>
      <c r="J218" s="4">
        <v>4511.3731994854052</v>
      </c>
      <c r="K218" s="74"/>
      <c r="L218" s="4">
        <v>13779.157022768135</v>
      </c>
      <c r="M218" s="74">
        <v>0</v>
      </c>
      <c r="N218" s="4">
        <v>218305.62724774389</v>
      </c>
      <c r="O218" s="10">
        <f t="shared" si="60"/>
        <v>2255998.5685947509</v>
      </c>
      <c r="P218" s="72"/>
      <c r="Q218" s="106">
        <f t="shared" si="61"/>
        <v>2734.9105560426569</v>
      </c>
    </row>
    <row r="219" spans="2:17">
      <c r="B219" s="3">
        <v>14</v>
      </c>
      <c r="C219" s="4">
        <v>1746414.6118260198</v>
      </c>
      <c r="D219" s="74">
        <v>260814.12560425838</v>
      </c>
      <c r="E219" s="4">
        <v>95624.57740046308</v>
      </c>
      <c r="F219" s="4">
        <v>1427.6643766245975</v>
      </c>
      <c r="G219" s="4">
        <v>10383.013596388329</v>
      </c>
      <c r="H219" s="4">
        <v>1687.2397087911363</v>
      </c>
      <c r="I219" s="4">
        <v>12784.085506181505</v>
      </c>
      <c r="J219" s="4">
        <v>4802.1437916210789</v>
      </c>
      <c r="K219" s="74"/>
      <c r="L219" s="4">
        <v>14513.675295935622</v>
      </c>
      <c r="M219" s="74">
        <v>0</v>
      </c>
      <c r="N219" s="4">
        <v>229942.7304525192</v>
      </c>
      <c r="O219" s="10">
        <f t="shared" si="60"/>
        <v>2378393.8675588029</v>
      </c>
      <c r="P219" s="72"/>
      <c r="Q219" s="106">
        <f t="shared" si="61"/>
        <v>2887.3133860235148</v>
      </c>
    </row>
    <row r="220" spans="2:17">
      <c r="B220" s="3">
        <v>15</v>
      </c>
      <c r="C220" s="4">
        <v>1835879.4902974498</v>
      </c>
      <c r="D220" s="74">
        <v>275084.0605089094</v>
      </c>
      <c r="E220" s="4">
        <v>101515.00051213818</v>
      </c>
      <c r="F220" s="4">
        <v>1516.4959534713798</v>
      </c>
      <c r="G220" s="4">
        <v>11029.0614247788</v>
      </c>
      <c r="H220" s="4">
        <v>1792.2224808658875</v>
      </c>
      <c r="I220" s="4">
        <v>13579.531895859696</v>
      </c>
      <c r="J220" s="4">
        <v>5100.9409124564718</v>
      </c>
      <c r="K220" s="74"/>
      <c r="L220" s="4">
        <v>15257.178120369175</v>
      </c>
      <c r="M220" s="74">
        <v>0</v>
      </c>
      <c r="N220" s="4">
        <v>241722.1774956322</v>
      </c>
      <c r="O220" s="10">
        <f t="shared" si="60"/>
        <v>2502476.1596019305</v>
      </c>
      <c r="P220" s="72"/>
      <c r="Q220" s="106">
        <f t="shared" si="61"/>
        <v>3042.1683451736976</v>
      </c>
    </row>
    <row r="221" spans="2:17">
      <c r="B221" s="3">
        <v>16</v>
      </c>
      <c r="C221" s="4">
        <v>1926125.152204229</v>
      </c>
      <c r="D221" s="74">
        <v>289557.88017242088</v>
      </c>
      <c r="E221" s="4">
        <v>107543.4036306398</v>
      </c>
      <c r="F221" s="4">
        <v>1607.4728394295653</v>
      </c>
      <c r="G221" s="4">
        <v>11690.711501174377</v>
      </c>
      <c r="H221" s="4">
        <v>1899.7406182405348</v>
      </c>
      <c r="I221" s="4">
        <v>14394.188553417658</v>
      </c>
      <c r="J221" s="4">
        <v>5406.9540729991741</v>
      </c>
      <c r="K221" s="74"/>
      <c r="L221" s="4">
        <v>16007.169688758699</v>
      </c>
      <c r="M221" s="74">
        <v>0</v>
      </c>
      <c r="N221" s="4">
        <v>253604.42685945451</v>
      </c>
      <c r="O221" s="10">
        <f t="shared" si="60"/>
        <v>2627837.1001407648</v>
      </c>
      <c r="P221" s="72"/>
      <c r="Q221" s="106">
        <f t="shared" si="61"/>
        <v>3198.9809364348057</v>
      </c>
    </row>
    <row r="222" spans="2:17">
      <c r="B222" s="3">
        <v>17</v>
      </c>
      <c r="C222" s="4">
        <v>2016963.0535125397</v>
      </c>
      <c r="D222" s="74">
        <v>304208.39112710615</v>
      </c>
      <c r="E222" s="4">
        <v>113700.51505733712</v>
      </c>
      <c r="F222" s="4">
        <v>1700.4575511860053</v>
      </c>
      <c r="G222" s="4">
        <v>12366.963946938973</v>
      </c>
      <c r="H222" s="4">
        <v>2009.6316406367721</v>
      </c>
      <c r="I222" s="4">
        <v>15226.8243782832</v>
      </c>
      <c r="J222" s="4">
        <v>5719.7208293796748</v>
      </c>
      <c r="K222" s="74"/>
      <c r="L222" s="4">
        <v>16762.083095475205</v>
      </c>
      <c r="M222" s="74">
        <v>0</v>
      </c>
      <c r="N222" s="4">
        <v>265564.65378035151</v>
      </c>
      <c r="O222" s="10">
        <f t="shared" si="60"/>
        <v>2754222.2949192342</v>
      </c>
      <c r="P222" s="72"/>
      <c r="Q222" s="106">
        <f t="shared" si="61"/>
        <v>3357.4468095384314</v>
      </c>
    </row>
    <row r="223" spans="2:17">
      <c r="B223" s="3">
        <v>18</v>
      </c>
      <c r="C223" s="4">
        <v>2108347.3786300723</v>
      </c>
      <c r="D223" s="74">
        <v>319031.23717308784</v>
      </c>
      <c r="E223" s="4">
        <v>119986.53856874867</v>
      </c>
      <c r="F223" s="4">
        <v>1795.4555602223734</v>
      </c>
      <c r="G223" s="4">
        <v>13057.858554666369</v>
      </c>
      <c r="H223" s="4">
        <v>2121.9020143510879</v>
      </c>
      <c r="I223" s="4">
        <v>16077.48836508748</v>
      </c>
      <c r="J223" s="4">
        <v>6039.259585672613</v>
      </c>
      <c r="K223" s="74"/>
      <c r="L223" s="4">
        <v>17521.537587502906</v>
      </c>
      <c r="M223" s="74">
        <v>0</v>
      </c>
      <c r="N223" s="4">
        <v>277596.82592080056</v>
      </c>
      <c r="O223" s="10">
        <f t="shared" si="60"/>
        <v>2881575.4819602123</v>
      </c>
      <c r="P223" s="72"/>
      <c r="Q223" s="106">
        <f t="shared" si="61"/>
        <v>3517.5092103654702</v>
      </c>
    </row>
    <row r="224" spans="2:17">
      <c r="B224" s="3">
        <v>19</v>
      </c>
      <c r="C224" s="4">
        <v>2200259.7946754578</v>
      </c>
      <c r="D224" s="74">
        <v>334026.71796696272</v>
      </c>
      <c r="E224" s="4">
        <v>126403.78448983343</v>
      </c>
      <c r="F224" s="4">
        <v>1892.5043274493405</v>
      </c>
      <c r="G224" s="4">
        <v>13763.667767341914</v>
      </c>
      <c r="H224" s="4">
        <v>2236.5960113685833</v>
      </c>
      <c r="I224" s="4">
        <v>16946.51595925662</v>
      </c>
      <c r="J224" s="4">
        <v>6365.6963467587975</v>
      </c>
      <c r="K224" s="74"/>
      <c r="L224" s="4">
        <v>18285.380808416456</v>
      </c>
      <c r="M224" s="74">
        <v>0</v>
      </c>
      <c r="N224" s="4">
        <v>289698.5294709478</v>
      </c>
      <c r="O224" s="10">
        <f t="shared" si="60"/>
        <v>3009879.1878237929</v>
      </c>
      <c r="P224" s="72"/>
      <c r="Q224" s="106">
        <f t="shared" si="61"/>
        <v>3679.1610347305673</v>
      </c>
    </row>
    <row r="225" spans="2:17">
      <c r="B225" s="3">
        <v>20</v>
      </c>
      <c r="C225" s="4">
        <v>2292614.8143796385</v>
      </c>
      <c r="D225" s="74">
        <v>349184.41441278497</v>
      </c>
      <c r="E225" s="4">
        <v>132950.13357157557</v>
      </c>
      <c r="F225" s="4">
        <v>1991.5745067735345</v>
      </c>
      <c r="G225" s="4">
        <v>14484.178158833049</v>
      </c>
      <c r="H225" s="4">
        <v>2353.6789499427323</v>
      </c>
      <c r="I225" s="4">
        <v>17833.644379864581</v>
      </c>
      <c r="J225" s="4">
        <v>6698.9324030518528</v>
      </c>
      <c r="K225" s="74"/>
      <c r="L225" s="4">
        <v>19052.90231153461</v>
      </c>
      <c r="M225" s="74">
        <v>0</v>
      </c>
      <c r="N225" s="4">
        <v>301858.50869808625</v>
      </c>
      <c r="O225" s="10">
        <f t="shared" si="60"/>
        <v>3139022.7817720855</v>
      </c>
      <c r="P225" s="72"/>
      <c r="Q225" s="106">
        <f t="shared" si="61"/>
        <v>3842.2788841406632</v>
      </c>
    </row>
    <row r="226" spans="2:17">
      <c r="B226" s="3">
        <v>21</v>
      </c>
      <c r="C226" s="4">
        <v>2385242.6424579923</v>
      </c>
      <c r="D226" s="74">
        <v>364480.09542879718</v>
      </c>
      <c r="E226" s="4">
        <v>139617.51788617286</v>
      </c>
      <c r="F226" s="4">
        <v>2092.5467457290206</v>
      </c>
      <c r="G226" s="4">
        <v>15218.521711210033</v>
      </c>
      <c r="H226" s="4">
        <v>2473.0097771600035</v>
      </c>
      <c r="I226" s="4">
        <v>18737.804879834068</v>
      </c>
      <c r="J226" s="4">
        <v>7038.5662962590004</v>
      </c>
      <c r="K226" s="74"/>
      <c r="L226" s="4">
        <v>19822.691003746324</v>
      </c>
      <c r="M226" s="74">
        <v>0</v>
      </c>
      <c r="N226" s="4">
        <v>314054.40740392293</v>
      </c>
      <c r="O226" s="10">
        <f t="shared" si="60"/>
        <v>3268777.8035908239</v>
      </c>
      <c r="P226" s="72"/>
      <c r="Q226" s="106">
        <f t="shared" si="61"/>
        <v>4006.5906459125231</v>
      </c>
    </row>
    <row r="227" spans="2:17">
      <c r="B227" s="3">
        <v>22</v>
      </c>
      <c r="C227" s="4">
        <v>2477950.8315881127</v>
      </c>
      <c r="D227" s="74">
        <v>379885.59655560297</v>
      </c>
      <c r="E227" s="4">
        <v>146396.02860931272</v>
      </c>
      <c r="F227" s="4">
        <v>2195.2736696041939</v>
      </c>
      <c r="G227" s="4">
        <v>15965.626608393817</v>
      </c>
      <c r="H227" s="4">
        <v>2594.4143229076144</v>
      </c>
      <c r="I227" s="4">
        <v>19657.677785616135</v>
      </c>
      <c r="J227" s="4">
        <v>7384.1023114433347</v>
      </c>
      <c r="K227" s="74"/>
      <c r="L227" s="4">
        <v>20593.14754092674</v>
      </c>
      <c r="M227" s="74">
        <v>0</v>
      </c>
      <c r="N227" s="4">
        <v>326260.88689598307</v>
      </c>
      <c r="O227" s="10">
        <f t="shared" si="60"/>
        <v>3398883.5858879029</v>
      </c>
      <c r="P227" s="72"/>
      <c r="Q227" s="106">
        <f t="shared" si="61"/>
        <v>4171.78255193533</v>
      </c>
    </row>
    <row r="228" spans="2:17">
      <c r="B228" s="3">
        <v>23</v>
      </c>
      <c r="C228" s="4">
        <v>2570565.8897354472</v>
      </c>
      <c r="D228" s="74">
        <v>395375.63406308787</v>
      </c>
      <c r="E228" s="4">
        <v>153276.84925031019</v>
      </c>
      <c r="F228" s="4">
        <v>2299.6242608628168</v>
      </c>
      <c r="G228" s="4">
        <v>16724.539995580155</v>
      </c>
      <c r="H228" s="4">
        <v>2717.7377482799338</v>
      </c>
      <c r="I228" s="4">
        <v>20592.08989473162</v>
      </c>
      <c r="J228" s="4">
        <v>7735.0997532575975</v>
      </c>
      <c r="K228" s="74"/>
      <c r="L228" s="4">
        <v>21362.830107919897</v>
      </c>
      <c r="M228" s="74">
        <v>0</v>
      </c>
      <c r="N228" s="4">
        <v>338455.10424117011</v>
      </c>
      <c r="O228" s="10">
        <f t="shared" si="60"/>
        <v>3529105.3990506469</v>
      </c>
      <c r="P228" s="72"/>
      <c r="Q228" s="106">
        <f t="shared" si="61"/>
        <v>4337.5725536952314</v>
      </c>
    </row>
    <row r="229" spans="2:17">
      <c r="B229" s="3">
        <v>24</v>
      </c>
      <c r="C229" s="4">
        <v>2662890.6163523486</v>
      </c>
      <c r="D229" s="74">
        <v>410920.73766782857</v>
      </c>
      <c r="E229" s="4">
        <v>160249.16048887908</v>
      </c>
      <c r="F229" s="4">
        <v>2405.436968864421</v>
      </c>
      <c r="G229" s="4">
        <v>17494.086959026041</v>
      </c>
      <c r="H229" s="4">
        <v>2842.7891297937927</v>
      </c>
      <c r="I229" s="4">
        <v>21539.594594632679</v>
      </c>
      <c r="J229" s="4">
        <v>8091.0152240952702</v>
      </c>
      <c r="K229" s="74"/>
      <c r="L229" s="4">
        <v>22130.099858659487</v>
      </c>
      <c r="M229" s="74">
        <v>0</v>
      </c>
      <c r="N229" s="4">
        <v>350611.09491074859</v>
      </c>
      <c r="O229" s="10">
        <f t="shared" si="60"/>
        <v>3659174.6321548768</v>
      </c>
      <c r="P229" s="72"/>
      <c r="Q229" s="106">
        <f t="shared" si="61"/>
        <v>4503.6344718025484</v>
      </c>
    </row>
    <row r="230" spans="2:17">
      <c r="B230" s="3">
        <v>25</v>
      </c>
      <c r="C230" s="4">
        <v>2754714.0603937707</v>
      </c>
      <c r="D230" s="74">
        <v>426488.81137851242</v>
      </c>
      <c r="E230" s="4">
        <v>167300.76582379162</v>
      </c>
      <c r="F230" s="4">
        <v>2512.5291227323928</v>
      </c>
      <c r="G230" s="4">
        <v>18272.93898327183</v>
      </c>
      <c r="H230" s="4">
        <v>2969.3525836870781</v>
      </c>
      <c r="I230" s="4">
        <v>22498.556150657623</v>
      </c>
      <c r="J230" s="4">
        <v>8451.2342855558472</v>
      </c>
      <c r="K230" s="74"/>
      <c r="L230" s="4">
        <v>22893.203672809486</v>
      </c>
      <c r="M230" s="74">
        <v>0</v>
      </c>
      <c r="N230" s="4">
        <v>362701.08390847134</v>
      </c>
      <c r="O230" s="10">
        <f t="shared" si="60"/>
        <v>3788802.5363032608</v>
      </c>
      <c r="P230" s="72"/>
      <c r="Q230" s="106">
        <f t="shared" si="61"/>
        <v>4669.6150223340828</v>
      </c>
    </row>
    <row r="231" spans="2:17">
      <c r="B231" s="3">
        <v>26</v>
      </c>
      <c r="C231" s="4">
        <v>2845798.6934506278</v>
      </c>
      <c r="D231" s="74">
        <v>442042.85743972671</v>
      </c>
      <c r="E231" s="4">
        <v>174416.99595830502</v>
      </c>
      <c r="F231" s="4">
        <v>2620.6802217411605</v>
      </c>
      <c r="G231" s="4">
        <v>19059.492426684985</v>
      </c>
      <c r="H231" s="4">
        <v>3097.1675181946002</v>
      </c>
      <c r="I231" s="4">
        <v>23467.000079043988</v>
      </c>
      <c r="J231" s="4">
        <v>8815.0152533837736</v>
      </c>
      <c r="K231" s="74"/>
      <c r="L231" s="4">
        <v>23650.167557378929</v>
      </c>
      <c r="M231" s="74">
        <v>0</v>
      </c>
      <c r="N231" s="4">
        <v>374693.79691346653</v>
      </c>
      <c r="O231" s="10">
        <f t="shared" si="60"/>
        <v>3917661.8668185533</v>
      </c>
      <c r="P231" s="72"/>
      <c r="Q231" s="106">
        <f t="shared" si="61"/>
        <v>4835.1098567077343</v>
      </c>
    </row>
    <row r="232" spans="2:17">
      <c r="B232" s="3">
        <v>27</v>
      </c>
      <c r="C232" s="4">
        <v>2935875.729417623</v>
      </c>
      <c r="D232" s="74">
        <v>457540.02648198174</v>
      </c>
      <c r="E232" s="4">
        <v>181580.17880749388</v>
      </c>
      <c r="F232" s="4">
        <v>2729.623777449327</v>
      </c>
      <c r="G232" s="4">
        <v>19851.809191519566</v>
      </c>
      <c r="H232" s="4">
        <v>3225.9189924327575</v>
      </c>
      <c r="I232" s="4">
        <v>24442.540096939148</v>
      </c>
      <c r="J232" s="4">
        <v>9181.4617573709347</v>
      </c>
      <c r="K232" s="74"/>
      <c r="L232" s="4">
        <v>24398.757750562399</v>
      </c>
      <c r="M232" s="74">
        <v>0</v>
      </c>
      <c r="N232" s="4">
        <v>386553.84404148726</v>
      </c>
      <c r="O232" s="10">
        <f t="shared" si="60"/>
        <v>4045379.8903148593</v>
      </c>
      <c r="P232" s="72"/>
      <c r="Q232" s="106">
        <f t="shared" si="61"/>
        <v>4999.6539072101896</v>
      </c>
    </row>
    <row r="233" spans="2:17">
      <c r="B233" s="3">
        <v>28</v>
      </c>
      <c r="C233" s="4">
        <v>3024657.5681821583</v>
      </c>
      <c r="D233" s="74">
        <v>472933.5403440441</v>
      </c>
      <c r="E233" s="4">
        <v>188770.39116801182</v>
      </c>
      <c r="F233" s="4">
        <v>2839.058599020349</v>
      </c>
      <c r="G233" s="4">
        <v>20647.698798975282</v>
      </c>
      <c r="H233" s="4">
        <v>3355.2510535966348</v>
      </c>
      <c r="I233" s="4">
        <v>25422.479177316956</v>
      </c>
      <c r="J233" s="4">
        <v>9549.5607010715048</v>
      </c>
      <c r="K233" s="74"/>
      <c r="L233" s="4">
        <v>25136.584135705445</v>
      </c>
      <c r="M233" s="74">
        <v>0</v>
      </c>
      <c r="N233" s="4">
        <v>398243.35825069761</v>
      </c>
      <c r="O233" s="10">
        <f t="shared" si="60"/>
        <v>4171555.4904105985</v>
      </c>
      <c r="P233" s="72"/>
      <c r="Q233" s="106">
        <f t="shared" si="61"/>
        <v>5162.7424522655183</v>
      </c>
    </row>
    <row r="234" spans="2:17">
      <c r="B234" s="3">
        <v>29</v>
      </c>
      <c r="C234" s="4">
        <v>3111817.9493047735</v>
      </c>
      <c r="D234" s="74">
        <v>488169.08516020048</v>
      </c>
      <c r="E234" s="4">
        <v>195963.67047217066</v>
      </c>
      <c r="F234" s="4">
        <v>2948.6214666141987</v>
      </c>
      <c r="G234" s="4">
        <v>21444.519650228729</v>
      </c>
      <c r="H234" s="4">
        <v>3484.7344418775874</v>
      </c>
      <c r="I234" s="4">
        <v>26403.564851622126</v>
      </c>
      <c r="J234" s="4">
        <v>9918.0903450288206</v>
      </c>
      <c r="K234" s="74"/>
      <c r="L234" s="4">
        <v>25860.935307367341</v>
      </c>
      <c r="M234" s="74">
        <v>0</v>
      </c>
      <c r="N234" s="4">
        <v>409719.38226406788</v>
      </c>
      <c r="O234" s="10">
        <f t="shared" si="60"/>
        <v>4295730.5532639511</v>
      </c>
      <c r="P234" s="72"/>
      <c r="Q234" s="106">
        <f t="shared" si="61"/>
        <v>5323.7933926252226</v>
      </c>
    </row>
    <row r="235" spans="2:17">
      <c r="B235" s="3">
        <v>30</v>
      </c>
      <c r="C235" s="4">
        <v>3197023.1153087313</v>
      </c>
      <c r="D235" s="74">
        <v>503189.99171741225</v>
      </c>
      <c r="E235" s="4">
        <v>203134.29540746473</v>
      </c>
      <c r="F235" s="4">
        <v>3057.9216950878586</v>
      </c>
      <c r="G235" s="4">
        <v>22239.430398799417</v>
      </c>
      <c r="H235" s="4">
        <v>3613.9074384727064</v>
      </c>
      <c r="I235" s="4">
        <v>27382.298711996275</v>
      </c>
      <c r="J235" s="4">
        <v>10285.736566494757</v>
      </c>
      <c r="K235" s="74"/>
      <c r="L235" s="4">
        <v>26569.037555564137</v>
      </c>
      <c r="M235" s="74">
        <v>0</v>
      </c>
      <c r="N235" s="4">
        <v>420937.97170264617</v>
      </c>
      <c r="O235" s="10">
        <f t="shared" si="60"/>
        <v>4417433.7065026695</v>
      </c>
      <c r="P235" s="72"/>
      <c r="Q235" s="106">
        <f t="shared" si="61"/>
        <v>5482.2027940717371</v>
      </c>
    </row>
    <row r="236" spans="2:17">
      <c r="B236" s="3">
        <v>31</v>
      </c>
      <c r="C236" s="4">
        <v>3279939.3244545758</v>
      </c>
      <c r="D236" s="74">
        <v>517938.40618341905</v>
      </c>
      <c r="E236" s="4">
        <v>210255.25046700565</v>
      </c>
      <c r="F236" s="4">
        <v>3166.5481173168978</v>
      </c>
      <c r="G236" s="4">
        <v>23029.440738342761</v>
      </c>
      <c r="H236" s="4">
        <v>3742.2841186011765</v>
      </c>
      <c r="I236" s="4">
        <v>28354.998943748131</v>
      </c>
      <c r="J236" s="4">
        <v>10651.116348783991</v>
      </c>
      <c r="K236" s="74"/>
      <c r="L236" s="4">
        <v>27258.117301097413</v>
      </c>
      <c r="M236" s="74">
        <v>0</v>
      </c>
      <c r="N236" s="4">
        <v>431855.18425953866</v>
      </c>
      <c r="O236" s="10">
        <f t="shared" si="60"/>
        <v>4536190.6709324289</v>
      </c>
      <c r="P236" s="72"/>
      <c r="Q236" s="106">
        <f t="shared" si="61"/>
        <v>5637.3576805729408</v>
      </c>
    </row>
    <row r="237" spans="2:17">
      <c r="B237" s="3">
        <v>32</v>
      </c>
      <c r="C237" s="4">
        <v>3360223.6688980246</v>
      </c>
      <c r="D237" s="74">
        <v>532353.55629472202</v>
      </c>
      <c r="E237" s="4">
        <v>217297.3276117834</v>
      </c>
      <c r="F237" s="4">
        <v>3274.0553178390692</v>
      </c>
      <c r="G237" s="4">
        <v>23811.31128369494</v>
      </c>
      <c r="H237" s="4">
        <v>3869.3380821740702</v>
      </c>
      <c r="I237" s="4">
        <v>29317.677053889871</v>
      </c>
      <c r="J237" s="4">
        <v>11012.731476257233</v>
      </c>
      <c r="K237" s="74"/>
      <c r="L237" s="4">
        <v>27925.324789347265</v>
      </c>
      <c r="M237" s="74">
        <v>0</v>
      </c>
      <c r="N237" s="4">
        <v>442425.87076714577</v>
      </c>
      <c r="O237" s="10">
        <f t="shared" si="60"/>
        <v>4651510.861574878</v>
      </c>
      <c r="P237" s="72"/>
      <c r="Q237" s="106">
        <f t="shared" si="61"/>
        <v>5788.6180842605754</v>
      </c>
    </row>
    <row r="238" spans="2:17">
      <c r="B238" s="3">
        <v>33</v>
      </c>
      <c r="C238" s="4">
        <v>3437563.7326887758</v>
      </c>
      <c r="D238" s="74">
        <v>546378.72372076556</v>
      </c>
      <c r="E238" s="4">
        <v>224232.44306115218</v>
      </c>
      <c r="F238" s="4">
        <v>3380.0141778785537</v>
      </c>
      <c r="G238" s="4">
        <v>24581.921171047386</v>
      </c>
      <c r="H238" s="4">
        <v>3994.5621888226815</v>
      </c>
      <c r="I238" s="4">
        <v>30266.490478852473</v>
      </c>
      <c r="J238" s="4">
        <v>11369.138549402025</v>
      </c>
      <c r="K238" s="74"/>
      <c r="L238" s="4">
        <v>28568.063670266416</v>
      </c>
      <c r="M238" s="74">
        <v>0</v>
      </c>
      <c r="N238" s="4">
        <v>452608.89679143165</v>
      </c>
      <c r="O238" s="10">
        <f t="shared" si="60"/>
        <v>4762943.9864983959</v>
      </c>
      <c r="P238" s="72"/>
      <c r="Q238" s="106">
        <f t="shared" si="61"/>
        <v>5935.3906306617491</v>
      </c>
    </row>
    <row r="239" spans="2:17">
      <c r="B239" s="3">
        <v>34</v>
      </c>
      <c r="C239" s="4">
        <v>3511767.52790034</v>
      </c>
      <c r="D239" s="74">
        <v>559977.89874955255</v>
      </c>
      <c r="E239" s="4">
        <v>231042.07864107483</v>
      </c>
      <c r="F239" s="4">
        <v>3484.1410533549497</v>
      </c>
      <c r="G239" s="4">
        <v>25339.207534371089</v>
      </c>
      <c r="H239" s="4">
        <v>4117.6212228174209</v>
      </c>
      <c r="I239" s="4">
        <v>31198.899314834649</v>
      </c>
      <c r="J239" s="4">
        <v>11719.383492679304</v>
      </c>
      <c r="K239" s="74"/>
      <c r="L239" s="4">
        <v>29184.738417565211</v>
      </c>
      <c r="M239" s="74">
        <v>0</v>
      </c>
      <c r="N239" s="4">
        <v>462378.98412656109</v>
      </c>
      <c r="O239" s="10">
        <f t="shared" si="60"/>
        <v>4870210.4804531513</v>
      </c>
      <c r="P239" s="72"/>
      <c r="Q239" s="106">
        <f t="shared" si="61"/>
        <v>6077.3018533797549</v>
      </c>
    </row>
    <row r="240" spans="2:17">
      <c r="B240" s="3">
        <v>35</v>
      </c>
      <c r="C240" s="4">
        <v>3560160.3281487557</v>
      </c>
      <c r="D240" s="74">
        <v>568913.32597213029</v>
      </c>
      <c r="E240" s="4">
        <v>235555.6977463426</v>
      </c>
      <c r="F240" s="4">
        <v>3553.1981080120245</v>
      </c>
      <c r="G240" s="4">
        <v>25841.440656644678</v>
      </c>
      <c r="H240" s="4">
        <v>4199.2341051567937</v>
      </c>
      <c r="I240" s="4">
        <v>31817.273847389955</v>
      </c>
      <c r="J240" s="4">
        <v>11951.666311890047</v>
      </c>
      <c r="K240" s="74"/>
      <c r="L240" s="4">
        <v>29586.909462579668</v>
      </c>
      <c r="M240" s="74">
        <v>0</v>
      </c>
      <c r="N240" s="4">
        <v>468750.65128280944</v>
      </c>
      <c r="O240" s="10">
        <f t="shared" si="60"/>
        <v>4940329.7256417107</v>
      </c>
      <c r="P240" s="72"/>
      <c r="Q240" s="107">
        <f t="shared" si="61"/>
        <v>6170.3594109403812</v>
      </c>
    </row>
    <row r="241" spans="2:17">
      <c r="B241" s="55" t="s">
        <v>4</v>
      </c>
      <c r="C241" s="56">
        <f t="shared" ref="C241:O241" si="62">SUM(C206:C240)</f>
        <v>73043676.263016015</v>
      </c>
      <c r="D241" s="56">
        <f t="shared" si="62"/>
        <v>11222941.917873094</v>
      </c>
      <c r="E241" s="56">
        <f t="shared" si="62"/>
        <v>4342530.2562017329</v>
      </c>
      <c r="F241" s="56">
        <f t="shared" si="62"/>
        <v>65140.709123124085</v>
      </c>
      <c r="G241" s="56">
        <f t="shared" si="62"/>
        <v>473750.6094414668</v>
      </c>
      <c r="H241" s="56">
        <f t="shared" si="62"/>
        <v>76984.47400585952</v>
      </c>
      <c r="I241" s="56">
        <f t="shared" si="62"/>
        <v>583305.43858788919</v>
      </c>
      <c r="J241" s="56">
        <f t="shared" si="62"/>
        <v>219109.65701686009</v>
      </c>
      <c r="K241" s="56">
        <f t="shared" si="62"/>
        <v>0</v>
      </c>
      <c r="L241" s="56">
        <f t="shared" si="62"/>
        <v>607033.51456410438</v>
      </c>
      <c r="M241" s="56">
        <f t="shared" si="62"/>
        <v>0</v>
      </c>
      <c r="N241" s="56">
        <f t="shared" si="62"/>
        <v>9617339.575879015</v>
      </c>
      <c r="O241" s="56">
        <f t="shared" si="62"/>
        <v>100251812.41570915</v>
      </c>
      <c r="Q241" s="56">
        <f>SUM(Q206:Q240)</f>
        <v>123163.60898113815</v>
      </c>
    </row>
  </sheetData>
  <mergeCells count="25">
    <mergeCell ref="B204:B205"/>
    <mergeCell ref="O204:O205"/>
    <mergeCell ref="Q4:Q5"/>
    <mergeCell ref="Q204:Q205"/>
    <mergeCell ref="R4:R5"/>
    <mergeCell ref="Q44:Q45"/>
    <mergeCell ref="Q84:Q85"/>
    <mergeCell ref="Q124:Q125"/>
    <mergeCell ref="Q164:Q165"/>
    <mergeCell ref="B84:B85"/>
    <mergeCell ref="O84:O85"/>
    <mergeCell ref="B124:B125"/>
    <mergeCell ref="O124:O125"/>
    <mergeCell ref="B203:O203"/>
    <mergeCell ref="B164:B165"/>
    <mergeCell ref="O164:O165"/>
    <mergeCell ref="B123:O123"/>
    <mergeCell ref="B163:O163"/>
    <mergeCell ref="B3:O3"/>
    <mergeCell ref="B43:O43"/>
    <mergeCell ref="B83:O83"/>
    <mergeCell ref="B4:B5"/>
    <mergeCell ref="O4:O5"/>
    <mergeCell ref="B44:B45"/>
    <mergeCell ref="O44:O45"/>
  </mergeCells>
  <phoneticPr fontId="33" type="noConversion"/>
  <printOptions horizontalCentered="1"/>
  <pageMargins left="0.98425196850393704" right="0.39370078740157483" top="1.1811023622047245" bottom="0.78740157480314965" header="0.78740157480314965" footer="0.78740157480314965"/>
  <pageSetup paperSize="9" scale="80" orientation="landscape" r:id="rId1"/>
  <rowBreaks count="5" manualBreakCount="5">
    <brk id="42" min="1" max="14" man="1"/>
    <brk id="82" min="1" max="14" man="1"/>
    <brk id="122" min="1" max="14" man="1"/>
    <brk id="162" min="1" max="14" man="1"/>
    <brk id="202" min="1" max="14" man="1"/>
  </rowBreaks>
  <colBreaks count="1" manualBreakCount="1">
    <brk id="15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ilha5"/>
  <dimension ref="A1:AG242"/>
  <sheetViews>
    <sheetView showGridLines="0" zoomScaleNormal="100" workbookViewId="0">
      <selection activeCell="O246" sqref="O246"/>
    </sheetView>
  </sheetViews>
  <sheetFormatPr defaultColWidth="9.140625" defaultRowHeight="12.75"/>
  <cols>
    <col min="1" max="1" width="4.7109375" style="126" customWidth="1"/>
    <col min="2" max="2" width="7.28515625" style="126" customWidth="1"/>
    <col min="3" max="14" width="9.140625" style="126" customWidth="1"/>
    <col min="15" max="15" width="16.28515625" style="126" customWidth="1"/>
    <col min="16" max="16" width="15.28515625" style="126" bestFit="1" customWidth="1"/>
    <col min="17" max="17" width="7.28515625" style="126" customWidth="1"/>
    <col min="18" max="18" width="14.5703125" style="126" bestFit="1" customWidth="1"/>
    <col min="19" max="19" width="12.85546875" style="126" bestFit="1" customWidth="1"/>
    <col min="20" max="20" width="10.28515625" style="493" bestFit="1" customWidth="1"/>
    <col min="21" max="21" width="27" style="493" bestFit="1" customWidth="1"/>
    <col min="22" max="22" width="10.140625" style="493" bestFit="1" customWidth="1"/>
    <col min="23" max="23" width="13.42578125" style="493" customWidth="1"/>
    <col min="24" max="24" width="10.28515625" style="493" bestFit="1" customWidth="1"/>
    <col min="25" max="25" width="10.42578125" style="493" customWidth="1"/>
    <col min="26" max="26" width="12.5703125" style="493" customWidth="1"/>
    <col min="27" max="16384" width="9.140625" style="126"/>
  </cols>
  <sheetData>
    <row r="1" spans="1:25" ht="30.2" customHeight="1">
      <c r="B1" s="125" t="str">
        <f>QDA!B1</f>
        <v>CONCESSIONÁRIA ROTA DO ATLÂNTICO</v>
      </c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</row>
    <row r="2" spans="1:25" ht="15">
      <c r="B2" s="494" t="s">
        <v>228</v>
      </c>
      <c r="N2" s="129" t="s">
        <v>43</v>
      </c>
      <c r="O2" s="129" t="s">
        <v>230</v>
      </c>
      <c r="R2" s="512"/>
    </row>
    <row r="3" spans="1:25">
      <c r="B3" s="904" t="s">
        <v>41</v>
      </c>
      <c r="C3" s="905"/>
      <c r="D3" s="905"/>
      <c r="E3" s="905"/>
      <c r="F3" s="905"/>
      <c r="G3" s="905"/>
      <c r="H3" s="905"/>
      <c r="I3" s="905"/>
      <c r="J3" s="905"/>
      <c r="K3" s="905"/>
      <c r="L3" s="905"/>
      <c r="M3" s="905"/>
      <c r="N3" s="905"/>
      <c r="O3" s="906"/>
    </row>
    <row r="4" spans="1:25" ht="13.5" thickBot="1">
      <c r="B4" s="902" t="s">
        <v>31</v>
      </c>
      <c r="C4" s="495" t="s">
        <v>32</v>
      </c>
      <c r="D4" s="495" t="s">
        <v>33</v>
      </c>
      <c r="E4" s="495" t="s">
        <v>34</v>
      </c>
      <c r="F4" s="495" t="s">
        <v>35</v>
      </c>
      <c r="G4" s="495" t="s">
        <v>36</v>
      </c>
      <c r="H4" s="495" t="s">
        <v>37</v>
      </c>
      <c r="I4" s="495" t="s">
        <v>38</v>
      </c>
      <c r="J4" s="495" t="s">
        <v>39</v>
      </c>
      <c r="K4" s="495" t="s">
        <v>40</v>
      </c>
      <c r="L4" s="495" t="s">
        <v>240</v>
      </c>
      <c r="M4" s="495" t="s">
        <v>241</v>
      </c>
      <c r="N4" s="495" t="s">
        <v>242</v>
      </c>
      <c r="O4" s="902" t="s">
        <v>41</v>
      </c>
    </row>
    <row r="5" spans="1:25">
      <c r="B5" s="903"/>
      <c r="C5" s="496">
        <f>QDA!C$5</f>
        <v>1</v>
      </c>
      <c r="D5" s="496">
        <f>QDA!D$5</f>
        <v>2</v>
      </c>
      <c r="E5" s="496">
        <f>QDA!E$5</f>
        <v>3</v>
      </c>
      <c r="F5" s="496">
        <f>QDA!F$5</f>
        <v>4</v>
      </c>
      <c r="G5" s="496">
        <f>QDA!G$5</f>
        <v>5</v>
      </c>
      <c r="H5" s="496">
        <f>QDA!H$5</f>
        <v>6</v>
      </c>
      <c r="I5" s="496">
        <f>QDA!I$5</f>
        <v>7</v>
      </c>
      <c r="J5" s="496">
        <f>QDA!J$5</f>
        <v>8</v>
      </c>
      <c r="K5" s="496">
        <f>QDA!K$5</f>
        <v>9</v>
      </c>
      <c r="L5" s="496">
        <f>QDA!L$5</f>
        <v>1.5</v>
      </c>
      <c r="M5" s="496">
        <f>QDA!M$5</f>
        <v>2</v>
      </c>
      <c r="N5" s="496">
        <f>QDA!N$5</f>
        <v>0.5</v>
      </c>
      <c r="O5" s="903"/>
      <c r="P5" s="907" t="s">
        <v>426</v>
      </c>
    </row>
    <row r="6" spans="1:25">
      <c r="A6" s="126">
        <v>2012</v>
      </c>
      <c r="B6" s="497">
        <v>1</v>
      </c>
      <c r="C6" s="498">
        <f>C46+C86+C126+C166+C206</f>
        <v>0</v>
      </c>
      <c r="D6" s="498">
        <f t="shared" ref="D6:N6" si="0">D46+D86+D126+D166+D206</f>
        <v>0</v>
      </c>
      <c r="E6" s="498">
        <f t="shared" si="0"/>
        <v>0</v>
      </c>
      <c r="F6" s="498">
        <f t="shared" si="0"/>
        <v>0</v>
      </c>
      <c r="G6" s="498">
        <f t="shared" si="0"/>
        <v>0</v>
      </c>
      <c r="H6" s="498">
        <f t="shared" si="0"/>
        <v>0</v>
      </c>
      <c r="I6" s="498">
        <f t="shared" si="0"/>
        <v>0</v>
      </c>
      <c r="J6" s="498">
        <f t="shared" si="0"/>
        <v>0</v>
      </c>
      <c r="K6" s="498">
        <f t="shared" si="0"/>
        <v>0</v>
      </c>
      <c r="L6" s="498">
        <f t="shared" si="0"/>
        <v>0</v>
      </c>
      <c r="M6" s="498">
        <f t="shared" si="0"/>
        <v>0</v>
      </c>
      <c r="N6" s="498">
        <f t="shared" si="0"/>
        <v>0</v>
      </c>
      <c r="O6" s="498">
        <f>(O46+O86+O126+O166+O206)</f>
        <v>0</v>
      </c>
      <c r="P6" s="908"/>
    </row>
    <row r="7" spans="1:25">
      <c r="A7" s="126">
        <v>2013</v>
      </c>
      <c r="B7" s="497">
        <v>2</v>
      </c>
      <c r="C7" s="498">
        <f t="shared" ref="C7:N22" si="1">C47+C87+C127+C167+C207</f>
        <v>0</v>
      </c>
      <c r="D7" s="498">
        <f t="shared" si="1"/>
        <v>0</v>
      </c>
      <c r="E7" s="498">
        <f t="shared" si="1"/>
        <v>0</v>
      </c>
      <c r="F7" s="498">
        <f t="shared" si="1"/>
        <v>0</v>
      </c>
      <c r="G7" s="498">
        <f t="shared" si="1"/>
        <v>0</v>
      </c>
      <c r="H7" s="498">
        <f t="shared" si="1"/>
        <v>0</v>
      </c>
      <c r="I7" s="498">
        <f t="shared" si="1"/>
        <v>0</v>
      </c>
      <c r="J7" s="498">
        <f t="shared" si="1"/>
        <v>0</v>
      </c>
      <c r="K7" s="498">
        <f t="shared" si="1"/>
        <v>0</v>
      </c>
      <c r="L7" s="498">
        <f t="shared" si="1"/>
        <v>0</v>
      </c>
      <c r="M7" s="498">
        <f t="shared" si="1"/>
        <v>0</v>
      </c>
      <c r="N7" s="498">
        <f t="shared" si="1"/>
        <v>0</v>
      </c>
      <c r="O7" s="498">
        <f>(O47+O87+O127+O167+O207)</f>
        <v>0</v>
      </c>
      <c r="P7" s="908"/>
    </row>
    <row r="8" spans="1:25">
      <c r="A8" s="126">
        <v>2014</v>
      </c>
      <c r="B8" s="497">
        <v>3</v>
      </c>
      <c r="C8" s="498">
        <f t="shared" si="1"/>
        <v>15704.989218758108</v>
      </c>
      <c r="D8" s="498">
        <f t="shared" si="1"/>
        <v>8825.8399952231739</v>
      </c>
      <c r="E8" s="498">
        <f t="shared" si="1"/>
        <v>6856.6777275638615</v>
      </c>
      <c r="F8" s="498">
        <f t="shared" si="1"/>
        <v>328.39603853443361</v>
      </c>
      <c r="G8" s="498">
        <f t="shared" si="1"/>
        <v>7652.6255702294447</v>
      </c>
      <c r="H8" s="498">
        <f t="shared" si="1"/>
        <v>2366.3626742056708</v>
      </c>
      <c r="I8" s="498">
        <f t="shared" si="1"/>
        <v>1416.8441556373132</v>
      </c>
      <c r="J8" s="498">
        <f t="shared" si="1"/>
        <v>212.89432004896813</v>
      </c>
      <c r="K8" s="498">
        <f t="shared" si="1"/>
        <v>0</v>
      </c>
      <c r="L8" s="498">
        <f t="shared" si="1"/>
        <v>67.255709849376402</v>
      </c>
      <c r="M8" s="498">
        <f t="shared" si="1"/>
        <v>0.68461707731720511</v>
      </c>
      <c r="N8" s="498">
        <f t="shared" si="1"/>
        <v>1211.5998773791644</v>
      </c>
      <c r="O8" s="498">
        <f>((O48+O88+O128+O168+O208)*(1-P8))</f>
        <v>41773.03743548692</v>
      </c>
      <c r="P8" s="270">
        <f>IF('Painel de Controle'!$G$14="total",IF('Painel de Controle'!$H$15-1&lt;QDB!B8,0,'Painel de Controle'!$H$14),0)*T8</f>
        <v>6.431147617172002E-2</v>
      </c>
      <c r="R8" s="500"/>
      <c r="S8" s="500"/>
      <c r="T8" s="493">
        <v>0.99508234102818327</v>
      </c>
      <c r="U8" s="493" t="s">
        <v>499</v>
      </c>
    </row>
    <row r="9" spans="1:25" ht="13.5" thickBot="1">
      <c r="A9" s="126">
        <v>2015</v>
      </c>
      <c r="B9" s="497">
        <v>4</v>
      </c>
      <c r="C9" s="498">
        <f t="shared" si="1"/>
        <v>20547.578435778909</v>
      </c>
      <c r="D9" s="498">
        <f t="shared" si="1"/>
        <v>11434.229644129331</v>
      </c>
      <c r="E9" s="498">
        <f t="shared" si="1"/>
        <v>8702.0264066853561</v>
      </c>
      <c r="F9" s="498">
        <f t="shared" si="1"/>
        <v>415.47746055751281</v>
      </c>
      <c r="G9" s="498">
        <f t="shared" si="1"/>
        <v>9661.6946044661381</v>
      </c>
      <c r="H9" s="498">
        <f t="shared" si="1"/>
        <v>2986.9430420096428</v>
      </c>
      <c r="I9" s="498">
        <f t="shared" si="1"/>
        <v>1806.5904375623318</v>
      </c>
      <c r="J9" s="498">
        <f t="shared" si="1"/>
        <v>277.01620351478448</v>
      </c>
      <c r="K9" s="498">
        <f t="shared" si="1"/>
        <v>0</v>
      </c>
      <c r="L9" s="498">
        <f t="shared" si="1"/>
        <v>90.357062051444018</v>
      </c>
      <c r="M9" s="498">
        <f t="shared" si="1"/>
        <v>0.88312799942915055</v>
      </c>
      <c r="N9" s="498">
        <f t="shared" si="1"/>
        <v>1581.9257838870997</v>
      </c>
      <c r="O9" s="498">
        <f>((O49+O89+O129+O169+O209)*(1-P9))</f>
        <v>54242.188591626764</v>
      </c>
      <c r="P9" s="270">
        <f>IF('Painel de Controle'!$G$14="total",IF('Painel de Controle'!$H$15&lt;QDB!B9,0,'Painel de Controle'!$H$14)*Z89,0)*T8</f>
        <v>5.6735055691216014E-2</v>
      </c>
      <c r="R9" s="500"/>
      <c r="S9" s="500"/>
    </row>
    <row r="10" spans="1:25">
      <c r="A10" s="126">
        <v>2016</v>
      </c>
      <c r="B10" s="497">
        <v>5</v>
      </c>
      <c r="C10" s="498">
        <f t="shared" si="1"/>
        <v>22012.030138138227</v>
      </c>
      <c r="D10" s="498">
        <f t="shared" si="1"/>
        <v>12218.368448938323</v>
      </c>
      <c r="E10" s="498">
        <f t="shared" si="1"/>
        <v>9151.1605835616592</v>
      </c>
      <c r="F10" s="498">
        <f t="shared" si="1"/>
        <v>436.78871336305917</v>
      </c>
      <c r="G10" s="498">
        <f t="shared" si="1"/>
        <v>10148.912979652458</v>
      </c>
      <c r="H10" s="498">
        <f t="shared" si="1"/>
        <v>3137.7483106935847</v>
      </c>
      <c r="I10" s="498">
        <f t="shared" si="1"/>
        <v>1903.9852479537326</v>
      </c>
      <c r="J10" s="498">
        <f t="shared" si="1"/>
        <v>293.89938195927101</v>
      </c>
      <c r="K10" s="498">
        <f t="shared" si="1"/>
        <v>0</v>
      </c>
      <c r="L10" s="498">
        <f t="shared" si="1"/>
        <v>96.796923262097067</v>
      </c>
      <c r="M10" s="498">
        <f t="shared" si="1"/>
        <v>0.94606964027541274</v>
      </c>
      <c r="N10" s="498">
        <f t="shared" si="1"/>
        <v>1694.6716198239342</v>
      </c>
      <c r="O10" s="498">
        <f>((O50+O90+O130+O170+O210)*(1-P10))</f>
        <v>61095.308416986627</v>
      </c>
      <c r="P10" s="270">
        <f>IF('Painel de Controle'!$G$14="total",IF('Painel de Controle'!$H$15&lt;QDB!B10,0,'Painel de Controle'!$H$14)*Z90,0)</f>
        <v>0</v>
      </c>
      <c r="R10" s="500"/>
      <c r="S10" s="500"/>
      <c r="V10" s="501" t="s">
        <v>508</v>
      </c>
      <c r="W10" s="502"/>
      <c r="X10" s="502"/>
      <c r="Y10" s="503"/>
    </row>
    <row r="11" spans="1:25" ht="13.5" thickBot="1">
      <c r="A11" s="126">
        <v>2017</v>
      </c>
      <c r="B11" s="497">
        <v>6</v>
      </c>
      <c r="C11" s="498">
        <f t="shared" si="1"/>
        <v>23548.930053515</v>
      </c>
      <c r="D11" s="498">
        <f t="shared" si="1"/>
        <v>13032.066584214928</v>
      </c>
      <c r="E11" s="498">
        <f t="shared" si="1"/>
        <v>9575.0000347280256</v>
      </c>
      <c r="F11" s="498">
        <f t="shared" si="1"/>
        <v>456.85713549027167</v>
      </c>
      <c r="G11" s="498">
        <f t="shared" si="1"/>
        <v>10604.877948882984</v>
      </c>
      <c r="H11" s="498">
        <f t="shared" si="1"/>
        <v>3278.9386700491536</v>
      </c>
      <c r="I11" s="498">
        <f t="shared" si="1"/>
        <v>1997.1836812213087</v>
      </c>
      <c r="J11" s="498">
        <f t="shared" si="1"/>
        <v>310.64941223360449</v>
      </c>
      <c r="K11" s="498">
        <f t="shared" si="1"/>
        <v>0</v>
      </c>
      <c r="L11" s="498">
        <f t="shared" si="1"/>
        <v>103.55537226642102</v>
      </c>
      <c r="M11" s="498">
        <f t="shared" si="1"/>
        <v>1.0121250809119662</v>
      </c>
      <c r="N11" s="498">
        <f t="shared" si="1"/>
        <v>1812.9951298661167</v>
      </c>
      <c r="O11" s="498">
        <f>((O51+O91+O131+O171+O211)*(1-P11))</f>
        <v>64722.066147548714</v>
      </c>
      <c r="P11" s="210">
        <f>IF('Painel de Controle'!$G$14="total",IF('Painel de Controle'!$H$15&lt;QDB!B11,0,'Painel de Controle'!$H$14)*Z91,0)</f>
        <v>0</v>
      </c>
      <c r="R11" s="500"/>
      <c r="S11" s="500"/>
      <c r="T11" s="493">
        <v>0.99508234102818327</v>
      </c>
      <c r="V11" s="504" t="s">
        <v>422</v>
      </c>
      <c r="W11" s="505" t="s">
        <v>509</v>
      </c>
      <c r="X11" s="505"/>
      <c r="Y11" s="506" t="s">
        <v>510</v>
      </c>
    </row>
    <row r="12" spans="1:25" ht="13.5" thickBot="1">
      <c r="A12" s="126">
        <v>2018</v>
      </c>
      <c r="B12" s="497">
        <v>7</v>
      </c>
      <c r="C12" s="498">
        <f t="shared" si="1"/>
        <v>25395.472779054966</v>
      </c>
      <c r="D12" s="498">
        <f t="shared" si="1"/>
        <v>13995.44943976019</v>
      </c>
      <c r="E12" s="498">
        <f t="shared" si="1"/>
        <v>10014.801397395049</v>
      </c>
      <c r="F12" s="498">
        <f t="shared" si="1"/>
        <v>477.62134377120248</v>
      </c>
      <c r="G12" s="498">
        <f t="shared" si="1"/>
        <v>11072.461906926541</v>
      </c>
      <c r="H12" s="498">
        <f t="shared" si="1"/>
        <v>3423.8096162486054</v>
      </c>
      <c r="I12" s="498">
        <f t="shared" si="1"/>
        <v>2095.646619573949</v>
      </c>
      <c r="J12" s="498">
        <f t="shared" si="1"/>
        <v>329.16438078134388</v>
      </c>
      <c r="K12" s="498">
        <f t="shared" si="1"/>
        <v>0</v>
      </c>
      <c r="L12" s="498">
        <f t="shared" si="1"/>
        <v>111.67546175305995</v>
      </c>
      <c r="M12" s="498">
        <f t="shared" si="1"/>
        <v>1.0914888652218004</v>
      </c>
      <c r="N12" s="498">
        <f t="shared" si="1"/>
        <v>1955.1575534193669</v>
      </c>
      <c r="O12" s="498">
        <f>((O52+O92+O132+O172+O212))</f>
        <v>66591.40387070096</v>
      </c>
      <c r="R12" s="500"/>
      <c r="S12" s="500"/>
      <c r="V12" s="507">
        <v>43248</v>
      </c>
      <c r="W12" s="508">
        <v>43407</v>
      </c>
      <c r="X12" s="509">
        <f>W12-V12+1</f>
        <v>160</v>
      </c>
      <c r="Y12" s="465">
        <f>X12/365</f>
        <v>0.43835616438356162</v>
      </c>
    </row>
    <row r="13" spans="1:25">
      <c r="A13" s="126">
        <v>2019</v>
      </c>
      <c r="B13" s="497">
        <v>8</v>
      </c>
      <c r="C13" s="498">
        <f t="shared" si="1"/>
        <v>28446.471606959276</v>
      </c>
      <c r="D13" s="498">
        <f t="shared" si="1"/>
        <v>15622.587054451262</v>
      </c>
      <c r="E13" s="498">
        <f t="shared" si="1"/>
        <v>10925.267719366515</v>
      </c>
      <c r="F13" s="498">
        <f t="shared" si="1"/>
        <v>520.81953885114842</v>
      </c>
      <c r="G13" s="498">
        <f t="shared" si="1"/>
        <v>12059.468209088025</v>
      </c>
      <c r="H13" s="498">
        <f t="shared" si="1"/>
        <v>3729.3135497262538</v>
      </c>
      <c r="I13" s="498">
        <f t="shared" si="1"/>
        <v>2293.0477646703084</v>
      </c>
      <c r="J13" s="498">
        <f t="shared" si="1"/>
        <v>363.41208663066249</v>
      </c>
      <c r="K13" s="498">
        <f t="shared" si="1"/>
        <v>0</v>
      </c>
      <c r="L13" s="498">
        <f t="shared" si="1"/>
        <v>125.09209336604847</v>
      </c>
      <c r="M13" s="498">
        <f t="shared" si="1"/>
        <v>1.2226197670732855</v>
      </c>
      <c r="N13" s="498">
        <f t="shared" si="1"/>
        <v>2190.0491601143426</v>
      </c>
      <c r="O13" s="498">
        <f>((O53+O93+O133+O173+O213))</f>
        <v>70262.062217854953</v>
      </c>
      <c r="R13" s="500"/>
      <c r="S13" s="500"/>
    </row>
    <row r="14" spans="1:25">
      <c r="A14" s="126">
        <v>2020</v>
      </c>
      <c r="B14" s="497">
        <v>9</v>
      </c>
      <c r="C14" s="498">
        <f t="shared" si="1"/>
        <v>30534.332475640807</v>
      </c>
      <c r="D14" s="498">
        <f t="shared" si="1"/>
        <v>16721.009879516041</v>
      </c>
      <c r="E14" s="498">
        <f t="shared" si="1"/>
        <v>11462.175139993298</v>
      </c>
      <c r="F14" s="498">
        <f t="shared" si="1"/>
        <v>546.19585705467853</v>
      </c>
      <c r="G14" s="498">
        <f t="shared" si="1"/>
        <v>12633.112152598153</v>
      </c>
      <c r="H14" s="498">
        <f t="shared" si="1"/>
        <v>3907.0075417321696</v>
      </c>
      <c r="I14" s="498">
        <f t="shared" si="1"/>
        <v>2412.5390720708738</v>
      </c>
      <c r="J14" s="498">
        <f t="shared" si="1"/>
        <v>385.52215658097475</v>
      </c>
      <c r="K14" s="498">
        <f t="shared" si="1"/>
        <v>0</v>
      </c>
      <c r="L14" s="498">
        <f t="shared" si="1"/>
        <v>134.27336865140001</v>
      </c>
      <c r="M14" s="498">
        <f t="shared" si="1"/>
        <v>1.3123553238839356</v>
      </c>
      <c r="N14" s="498">
        <f t="shared" si="1"/>
        <v>2350.790288401513</v>
      </c>
      <c r="O14" s="498">
        <f>((O54+O94+O134+O174+O214))*(1+'Perda de Receita Covid19'!B6)</f>
        <v>74382.066791974721</v>
      </c>
      <c r="Q14" s="694"/>
      <c r="R14" s="510"/>
      <c r="S14" s="511"/>
    </row>
    <row r="15" spans="1:25">
      <c r="A15" s="126">
        <v>2021</v>
      </c>
      <c r="B15" s="497">
        <v>10</v>
      </c>
      <c r="C15" s="498">
        <f t="shared" si="1"/>
        <v>32410.059780808602</v>
      </c>
      <c r="D15" s="498">
        <f t="shared" si="1"/>
        <v>17706.326990898495</v>
      </c>
      <c r="E15" s="498">
        <f t="shared" si="1"/>
        <v>11930.800573489734</v>
      </c>
      <c r="F15" s="498">
        <f t="shared" si="1"/>
        <v>568.31589101272186</v>
      </c>
      <c r="G15" s="498">
        <f t="shared" si="1"/>
        <v>13131.487460619572</v>
      </c>
      <c r="H15" s="498">
        <f t="shared" si="1"/>
        <v>4061.4276670220156</v>
      </c>
      <c r="I15" s="498">
        <f t="shared" si="1"/>
        <v>2517.8049672832103</v>
      </c>
      <c r="J15" s="498">
        <f t="shared" si="1"/>
        <v>405.40408253797102</v>
      </c>
      <c r="K15" s="498">
        <f t="shared" si="1"/>
        <v>0</v>
      </c>
      <c r="L15" s="498">
        <f t="shared" si="1"/>
        <v>142.52179602858988</v>
      </c>
      <c r="M15" s="498">
        <f t="shared" si="1"/>
        <v>1.3929734515949383</v>
      </c>
      <c r="N15" s="498">
        <f t="shared" si="1"/>
        <v>2495.1995868918493</v>
      </c>
      <c r="O15" s="498">
        <f t="shared" ref="O15:O40" si="2">((O55+O95+O135+O175+O215))</f>
        <v>78518.776586422639</v>
      </c>
      <c r="R15" s="500"/>
      <c r="S15" s="500"/>
    </row>
    <row r="16" spans="1:25">
      <c r="A16" s="126">
        <v>2022</v>
      </c>
      <c r="B16" s="497">
        <v>11</v>
      </c>
      <c r="C16" s="498">
        <f t="shared" si="1"/>
        <v>34337.746595514102</v>
      </c>
      <c r="D16" s="498">
        <f t="shared" si="1"/>
        <v>18723.733643790609</v>
      </c>
      <c r="E16" s="498">
        <f t="shared" si="1"/>
        <v>12433.233307166971</v>
      </c>
      <c r="F16" s="498">
        <f t="shared" si="1"/>
        <v>592.04644392658076</v>
      </c>
      <c r="G16" s="498">
        <f t="shared" si="1"/>
        <v>13667.297684675033</v>
      </c>
      <c r="H16" s="498">
        <f t="shared" si="1"/>
        <v>4227.4266814559933</v>
      </c>
      <c r="I16" s="498">
        <f t="shared" si="1"/>
        <v>2630.2720503773512</v>
      </c>
      <c r="J16" s="498">
        <f t="shared" si="1"/>
        <v>426.45260313973029</v>
      </c>
      <c r="K16" s="498">
        <f t="shared" si="1"/>
        <v>0</v>
      </c>
      <c r="L16" s="498">
        <f t="shared" si="1"/>
        <v>150.99871303739906</v>
      </c>
      <c r="M16" s="498">
        <f t="shared" si="1"/>
        <v>1.4758247815225802</v>
      </c>
      <c r="N16" s="498">
        <f t="shared" si="1"/>
        <v>2643.609166394021</v>
      </c>
      <c r="O16" s="498">
        <f t="shared" si="2"/>
        <v>82624.077209380383</v>
      </c>
      <c r="P16" s="499"/>
      <c r="S16" s="512"/>
    </row>
    <row r="17" spans="1:19">
      <c r="A17" s="126">
        <v>2023</v>
      </c>
      <c r="B17" s="497">
        <v>12</v>
      </c>
      <c r="C17" s="498">
        <f t="shared" si="1"/>
        <v>36310.6963750746</v>
      </c>
      <c r="D17" s="498">
        <f t="shared" si="1"/>
        <v>19769.696723134024</v>
      </c>
      <c r="E17" s="498">
        <f t="shared" si="1"/>
        <v>12967.53164507604</v>
      </c>
      <c r="F17" s="498">
        <f t="shared" si="1"/>
        <v>617.29511010510839</v>
      </c>
      <c r="G17" s="498">
        <f t="shared" si="1"/>
        <v>14238.419415068531</v>
      </c>
      <c r="H17" s="498">
        <f t="shared" si="1"/>
        <v>4404.3477448259719</v>
      </c>
      <c r="I17" s="498">
        <f t="shared" si="1"/>
        <v>2749.5299544204995</v>
      </c>
      <c r="J17" s="498">
        <f t="shared" si="1"/>
        <v>448.60066795165181</v>
      </c>
      <c r="K17" s="498">
        <f t="shared" si="1"/>
        <v>0</v>
      </c>
      <c r="L17" s="498">
        <f t="shared" si="1"/>
        <v>159.67467192050103</v>
      </c>
      <c r="M17" s="498">
        <f t="shared" si="1"/>
        <v>1.5606214984322238</v>
      </c>
      <c r="N17" s="498">
        <f t="shared" si="1"/>
        <v>2795.5034704530581</v>
      </c>
      <c r="O17" s="498">
        <f t="shared" si="2"/>
        <v>86881.146439241478</v>
      </c>
      <c r="P17" s="513"/>
    </row>
    <row r="18" spans="1:19">
      <c r="A18" s="126">
        <v>2024</v>
      </c>
      <c r="B18" s="497">
        <v>13</v>
      </c>
      <c r="C18" s="498">
        <f t="shared" si="1"/>
        <v>38340.584916427106</v>
      </c>
      <c r="D18" s="498">
        <f t="shared" si="1"/>
        <v>20850.655955133439</v>
      </c>
      <c r="E18" s="498">
        <f t="shared" si="1"/>
        <v>13538.180139411603</v>
      </c>
      <c r="F18" s="498">
        <f t="shared" si="1"/>
        <v>644.27534058003016</v>
      </c>
      <c r="G18" s="498">
        <f t="shared" si="1"/>
        <v>14849.779561070542</v>
      </c>
      <c r="H18" s="498">
        <f t="shared" si="1"/>
        <v>4593.7149488479672</v>
      </c>
      <c r="I18" s="498">
        <f t="shared" si="1"/>
        <v>2876.5321459100837</v>
      </c>
      <c r="J18" s="498">
        <f t="shared" si="1"/>
        <v>472.00445465623011</v>
      </c>
      <c r="K18" s="498">
        <f t="shared" si="1"/>
        <v>0</v>
      </c>
      <c r="L18" s="498">
        <f t="shared" si="1"/>
        <v>168.60101647549391</v>
      </c>
      <c r="M18" s="498">
        <f t="shared" si="1"/>
        <v>1.6478654241430659</v>
      </c>
      <c r="N18" s="498">
        <f t="shared" si="1"/>
        <v>2951.7814003326712</v>
      </c>
      <c r="O18" s="498">
        <f t="shared" si="2"/>
        <v>91318.7950163114</v>
      </c>
      <c r="P18" s="467"/>
    </row>
    <row r="19" spans="1:19">
      <c r="A19" s="126">
        <v>2025</v>
      </c>
      <c r="B19" s="497">
        <v>14</v>
      </c>
      <c r="C19" s="498">
        <f t="shared" si="1"/>
        <v>40388.323791371433</v>
      </c>
      <c r="D19" s="498">
        <f t="shared" si="1"/>
        <v>21945.414041234118</v>
      </c>
      <c r="E19" s="498">
        <f t="shared" si="1"/>
        <v>14131.589145415817</v>
      </c>
      <c r="F19" s="498">
        <f t="shared" si="1"/>
        <v>672.34034423007813</v>
      </c>
      <c r="G19" s="498">
        <f t="shared" si="1"/>
        <v>15486.470508465851</v>
      </c>
      <c r="H19" s="498">
        <f t="shared" si="1"/>
        <v>4790.9167963864984</v>
      </c>
      <c r="I19" s="498">
        <f t="shared" si="1"/>
        <v>3008.3946860101587</v>
      </c>
      <c r="J19" s="498">
        <f t="shared" si="1"/>
        <v>496.19187852983003</v>
      </c>
      <c r="K19" s="498">
        <f t="shared" si="1"/>
        <v>0</v>
      </c>
      <c r="L19" s="498">
        <f t="shared" si="1"/>
        <v>177.60585707833181</v>
      </c>
      <c r="M19" s="498">
        <f t="shared" si="1"/>
        <v>1.7358765511785486</v>
      </c>
      <c r="N19" s="498">
        <f t="shared" si="1"/>
        <v>3109.4335993529589</v>
      </c>
      <c r="O19" s="498">
        <f t="shared" si="2"/>
        <v>95844.515414449445</v>
      </c>
    </row>
    <row r="20" spans="1:19">
      <c r="A20" s="126">
        <v>2026</v>
      </c>
      <c r="B20" s="497">
        <v>15</v>
      </c>
      <c r="C20" s="498">
        <f t="shared" si="1"/>
        <v>40842.25000290326</v>
      </c>
      <c r="D20" s="498">
        <f t="shared" si="1"/>
        <v>22178.846546122197</v>
      </c>
      <c r="E20" s="498">
        <f t="shared" si="1"/>
        <v>14188.20660825192</v>
      </c>
      <c r="F20" s="498">
        <f t="shared" si="1"/>
        <v>674.87472076642882</v>
      </c>
      <c r="G20" s="498">
        <f t="shared" si="1"/>
        <v>15535.81210143763</v>
      </c>
      <c r="H20" s="498">
        <f t="shared" si="1"/>
        <v>4806.404603361485</v>
      </c>
      <c r="I20" s="498">
        <f t="shared" si="1"/>
        <v>3025.7818850052108</v>
      </c>
      <c r="J20" s="498">
        <f t="shared" si="1"/>
        <v>501.38578810761641</v>
      </c>
      <c r="K20" s="498">
        <f t="shared" si="1"/>
        <v>0</v>
      </c>
      <c r="L20" s="498">
        <f t="shared" si="1"/>
        <v>179.60197739929083</v>
      </c>
      <c r="M20" s="498">
        <f t="shared" si="1"/>
        <v>1.7553861468387613</v>
      </c>
      <c r="N20" s="498">
        <f t="shared" si="1"/>
        <v>3144.3806652687172</v>
      </c>
      <c r="O20" s="498">
        <f t="shared" si="2"/>
        <v>96645.500927492176</v>
      </c>
    </row>
    <row r="21" spans="1:19">
      <c r="A21" s="126">
        <v>2027</v>
      </c>
      <c r="B21" s="497">
        <v>16</v>
      </c>
      <c r="C21" s="498">
        <f t="shared" si="1"/>
        <v>42849.917665597713</v>
      </c>
      <c r="D21" s="498">
        <f t="shared" si="1"/>
        <v>23260.557877298485</v>
      </c>
      <c r="E21" s="498">
        <f t="shared" si="1"/>
        <v>14804.794233251463</v>
      </c>
      <c r="F21" s="498">
        <f t="shared" si="1"/>
        <v>704.05292938812704</v>
      </c>
      <c r="G21" s="498">
        <f t="shared" si="1"/>
        <v>16199.208635677016</v>
      </c>
      <c r="H21" s="498">
        <f t="shared" si="1"/>
        <v>5011.8553448156072</v>
      </c>
      <c r="I21" s="498">
        <f t="shared" si="1"/>
        <v>3162.3857777707108</v>
      </c>
      <c r="J21" s="498">
        <f t="shared" si="1"/>
        <v>526.22212152926511</v>
      </c>
      <c r="K21" s="498">
        <f t="shared" si="1"/>
        <v>0</v>
      </c>
      <c r="L21" s="498">
        <f t="shared" si="1"/>
        <v>188.43060662894646</v>
      </c>
      <c r="M21" s="498">
        <f t="shared" si="1"/>
        <v>1.8416750266702959</v>
      </c>
      <c r="N21" s="498">
        <f t="shared" si="1"/>
        <v>3298.9478446090552</v>
      </c>
      <c r="O21" s="498">
        <f t="shared" si="2"/>
        <v>101178.81436332628</v>
      </c>
      <c r="R21" s="491" t="s">
        <v>520</v>
      </c>
      <c r="S21" s="492">
        <v>43248</v>
      </c>
    </row>
    <row r="22" spans="1:19">
      <c r="A22" s="126">
        <v>2028</v>
      </c>
      <c r="B22" s="497">
        <v>17</v>
      </c>
      <c r="C22" s="498">
        <f t="shared" si="1"/>
        <v>44870.760697278398</v>
      </c>
      <c r="D22" s="498">
        <f t="shared" si="1"/>
        <v>24353.492197087537</v>
      </c>
      <c r="E22" s="498">
        <f t="shared" si="1"/>
        <v>15442.411003902969</v>
      </c>
      <c r="F22" s="498">
        <f t="shared" si="1"/>
        <v>734.23367169335552</v>
      </c>
      <c r="G22" s="498">
        <f t="shared" si="1"/>
        <v>16886.046474121133</v>
      </c>
      <c r="H22" s="498">
        <f t="shared" si="1"/>
        <v>5224.5559934298153</v>
      </c>
      <c r="I22" s="498">
        <f t="shared" si="1"/>
        <v>3303.4760243749211</v>
      </c>
      <c r="J22" s="498">
        <f t="shared" si="1"/>
        <v>551.77833733283865</v>
      </c>
      <c r="K22" s="498">
        <f t="shared" si="1"/>
        <v>0</v>
      </c>
      <c r="L22" s="498">
        <f t="shared" si="1"/>
        <v>197.3171739575738</v>
      </c>
      <c r="M22" s="498">
        <f t="shared" si="1"/>
        <v>1.9285301794225496</v>
      </c>
      <c r="N22" s="498">
        <f t="shared" si="1"/>
        <v>3454.5293749093717</v>
      </c>
      <c r="O22" s="498">
        <f t="shared" si="2"/>
        <v>105788.83432081273</v>
      </c>
      <c r="R22" s="491" t="s">
        <v>521</v>
      </c>
      <c r="S22" s="492">
        <v>43407</v>
      </c>
    </row>
    <row r="23" spans="1:19">
      <c r="A23" s="126">
        <v>2029</v>
      </c>
      <c r="B23" s="497">
        <v>18</v>
      </c>
      <c r="C23" s="498">
        <f t="shared" ref="C23:N38" si="3">C63+C103+C143+C183+C223</f>
        <v>46903.759852463758</v>
      </c>
      <c r="D23" s="498">
        <f t="shared" si="3"/>
        <v>25457.142630484639</v>
      </c>
      <c r="E23" s="498">
        <f t="shared" si="3"/>
        <v>16100.830065908493</v>
      </c>
      <c r="F23" s="498">
        <f t="shared" si="3"/>
        <v>765.40599071447491</v>
      </c>
      <c r="G23" s="498">
        <f t="shared" si="3"/>
        <v>17596.067584313179</v>
      </c>
      <c r="H23" s="498">
        <f t="shared" si="3"/>
        <v>5444.4269679601639</v>
      </c>
      <c r="I23" s="498">
        <f t="shared" si="3"/>
        <v>3449.0110220054089</v>
      </c>
      <c r="J23" s="498">
        <f t="shared" si="3"/>
        <v>578.05011462600419</v>
      </c>
      <c r="K23" s="498">
        <f t="shared" si="3"/>
        <v>0</v>
      </c>
      <c r="L23" s="498">
        <f t="shared" si="3"/>
        <v>206.25719729851176</v>
      </c>
      <c r="M23" s="498">
        <f t="shared" si="3"/>
        <v>2.0159077982680738</v>
      </c>
      <c r="N23" s="498">
        <f t="shared" si="3"/>
        <v>3611.0467860612562</v>
      </c>
      <c r="O23" s="498">
        <f t="shared" si="2"/>
        <v>110473.5093547854</v>
      </c>
      <c r="R23" s="491" t="s">
        <v>522</v>
      </c>
      <c r="S23" s="126">
        <f>S22-S21+1</f>
        <v>160</v>
      </c>
    </row>
    <row r="24" spans="1:19">
      <c r="A24" s="126">
        <v>2030</v>
      </c>
      <c r="B24" s="497">
        <v>19</v>
      </c>
      <c r="C24" s="498">
        <f t="shared" si="3"/>
        <v>48948.50728514426</v>
      </c>
      <c r="D24" s="498">
        <f t="shared" si="3"/>
        <v>26571.349760791323</v>
      </c>
      <c r="E24" s="498">
        <f t="shared" si="3"/>
        <v>16780.091094327323</v>
      </c>
      <c r="F24" s="498">
        <f t="shared" si="3"/>
        <v>797.57158964069424</v>
      </c>
      <c r="G24" s="498">
        <f t="shared" si="3"/>
        <v>18329.305398327593</v>
      </c>
      <c r="H24" s="498">
        <f t="shared" si="3"/>
        <v>5671.4788878380132</v>
      </c>
      <c r="I24" s="498">
        <f t="shared" si="3"/>
        <v>3599.0069326340981</v>
      </c>
      <c r="J24" s="498">
        <f t="shared" si="3"/>
        <v>605.04300137286384</v>
      </c>
      <c r="K24" s="498">
        <f t="shared" si="3"/>
        <v>0</v>
      </c>
      <c r="L24" s="498">
        <f t="shared" si="3"/>
        <v>215.24888316707768</v>
      </c>
      <c r="M24" s="498">
        <f t="shared" si="3"/>
        <v>2.1037903541227667</v>
      </c>
      <c r="N24" s="498">
        <f t="shared" si="3"/>
        <v>3768.4686786411553</v>
      </c>
      <c r="O24" s="498">
        <f t="shared" si="2"/>
        <v>115232.38572736495</v>
      </c>
      <c r="R24" s="491" t="s">
        <v>523</v>
      </c>
      <c r="S24" s="467">
        <f>S23/365</f>
        <v>0.43835616438356162</v>
      </c>
    </row>
    <row r="25" spans="1:19">
      <c r="A25" s="126">
        <v>2031</v>
      </c>
      <c r="B25" s="497">
        <v>20</v>
      </c>
      <c r="C25" s="498">
        <f t="shared" si="3"/>
        <v>51003.101186168802</v>
      </c>
      <c r="D25" s="498">
        <f t="shared" si="3"/>
        <v>27700.674980930038</v>
      </c>
      <c r="E25" s="498">
        <f t="shared" si="3"/>
        <v>17506.996181188089</v>
      </c>
      <c r="F25" s="498">
        <f t="shared" si="3"/>
        <v>832.0236404147447</v>
      </c>
      <c r="G25" s="498">
        <f t="shared" si="3"/>
        <v>19116.814112494285</v>
      </c>
      <c r="H25" s="498">
        <f t="shared" si="3"/>
        <v>5915.2944369767129</v>
      </c>
      <c r="I25" s="498">
        <f t="shared" si="3"/>
        <v>3758.6482009813367</v>
      </c>
      <c r="J25" s="498">
        <f t="shared" si="3"/>
        <v>633.35923520482834</v>
      </c>
      <c r="K25" s="498">
        <f t="shared" si="3"/>
        <v>0</v>
      </c>
      <c r="L25" s="498">
        <f t="shared" si="3"/>
        <v>224.28386844213725</v>
      </c>
      <c r="M25" s="498">
        <f t="shared" si="3"/>
        <v>2.1920961078699657</v>
      </c>
      <c r="N25" s="498">
        <f t="shared" si="3"/>
        <v>3926.6486353502341</v>
      </c>
      <c r="O25" s="498">
        <f t="shared" si="2"/>
        <v>120136.30497800547</v>
      </c>
      <c r="R25" s="491"/>
    </row>
    <row r="26" spans="1:19">
      <c r="A26" s="126">
        <v>2032</v>
      </c>
      <c r="B26" s="497">
        <v>21</v>
      </c>
      <c r="C26" s="498">
        <f t="shared" si="3"/>
        <v>53063.764171727373</v>
      </c>
      <c r="D26" s="498">
        <f t="shared" si="3"/>
        <v>28848.595057214934</v>
      </c>
      <c r="E26" s="498">
        <f t="shared" si="3"/>
        <v>18307.418263964475</v>
      </c>
      <c r="F26" s="498">
        <f t="shared" si="3"/>
        <v>870.01105008393961</v>
      </c>
      <c r="G26" s="498">
        <f t="shared" si="3"/>
        <v>19988.621379693064</v>
      </c>
      <c r="H26" s="498">
        <f t="shared" si="3"/>
        <v>6185.1387939762781</v>
      </c>
      <c r="I26" s="498">
        <f t="shared" si="3"/>
        <v>3932.9222181593627</v>
      </c>
      <c r="J26" s="498">
        <f t="shared" si="3"/>
        <v>663.56925685207898</v>
      </c>
      <c r="K26" s="498">
        <f t="shared" si="3"/>
        <v>0</v>
      </c>
      <c r="L26" s="498">
        <f t="shared" si="3"/>
        <v>233.34554224643392</v>
      </c>
      <c r="M26" s="498">
        <f t="shared" si="3"/>
        <v>2.2806627088259797</v>
      </c>
      <c r="N26" s="498">
        <f t="shared" si="3"/>
        <v>4085.2958413431616</v>
      </c>
      <c r="O26" s="498">
        <f t="shared" si="2"/>
        <v>125250.90361858827</v>
      </c>
      <c r="R26" s="491"/>
    </row>
    <row r="27" spans="1:19">
      <c r="A27" s="126">
        <v>2033</v>
      </c>
      <c r="B27" s="497">
        <v>22</v>
      </c>
      <c r="C27" s="498">
        <f t="shared" si="3"/>
        <v>55126.214925047432</v>
      </c>
      <c r="D27" s="498">
        <f t="shared" si="3"/>
        <v>30000.953584870193</v>
      </c>
      <c r="E27" s="498">
        <f t="shared" si="3"/>
        <v>19121.553132804183</v>
      </c>
      <c r="F27" s="498">
        <f t="shared" si="3"/>
        <v>908.64972622256278</v>
      </c>
      <c r="G27" s="498">
        <f t="shared" si="3"/>
        <v>20875.578821637413</v>
      </c>
      <c r="H27" s="498">
        <f t="shared" si="3"/>
        <v>6459.6724777530599</v>
      </c>
      <c r="I27" s="498">
        <f t="shared" si="3"/>
        <v>4110.2247508283672</v>
      </c>
      <c r="J27" s="498">
        <f t="shared" si="3"/>
        <v>694.30426506946242</v>
      </c>
      <c r="K27" s="498">
        <f t="shared" si="3"/>
        <v>0</v>
      </c>
      <c r="L27" s="498">
        <f t="shared" si="3"/>
        <v>242.41507767992761</v>
      </c>
      <c r="M27" s="498">
        <f t="shared" si="3"/>
        <v>2.3693061474381487</v>
      </c>
      <c r="N27" s="498">
        <f t="shared" si="3"/>
        <v>4244.0806847674967</v>
      </c>
      <c r="O27" s="498">
        <f t="shared" si="2"/>
        <v>130406.08927214963</v>
      </c>
    </row>
    <row r="28" spans="1:19">
      <c r="A28" s="126">
        <v>2034</v>
      </c>
      <c r="B28" s="497">
        <v>23</v>
      </c>
      <c r="C28" s="498">
        <f t="shared" si="3"/>
        <v>57186.593821852897</v>
      </c>
      <c r="D28" s="498">
        <f t="shared" si="3"/>
        <v>31155.720492868873</v>
      </c>
      <c r="E28" s="498">
        <f t="shared" si="3"/>
        <v>19948.355330647009</v>
      </c>
      <c r="F28" s="498">
        <f t="shared" si="3"/>
        <v>947.89006857348988</v>
      </c>
      <c r="G28" s="498">
        <f t="shared" si="3"/>
        <v>21776.555216108209</v>
      </c>
      <c r="H28" s="498">
        <f t="shared" si="3"/>
        <v>6738.5453490689206</v>
      </c>
      <c r="I28" s="498">
        <f t="shared" si="3"/>
        <v>4290.3296679983196</v>
      </c>
      <c r="J28" s="498">
        <f t="shared" si="3"/>
        <v>725.52506054193088</v>
      </c>
      <c r="K28" s="498">
        <f t="shared" si="3"/>
        <v>0</v>
      </c>
      <c r="L28" s="498">
        <f t="shared" si="3"/>
        <v>251.47550221657113</v>
      </c>
      <c r="M28" s="498">
        <f t="shared" si="3"/>
        <v>2.4578605383552539</v>
      </c>
      <c r="N28" s="498">
        <f t="shared" si="3"/>
        <v>4402.7060192136223</v>
      </c>
      <c r="O28" s="498">
        <f t="shared" si="2"/>
        <v>135593.54223130876</v>
      </c>
    </row>
    <row r="29" spans="1:19">
      <c r="A29" s="126">
        <v>2035</v>
      </c>
      <c r="B29" s="497">
        <v>24</v>
      </c>
      <c r="C29" s="498">
        <f t="shared" si="3"/>
        <v>59240.513801821871</v>
      </c>
      <c r="D29" s="498">
        <f t="shared" si="3"/>
        <v>32310.562212393565</v>
      </c>
      <c r="E29" s="498">
        <f t="shared" si="3"/>
        <v>20786.537913632135</v>
      </c>
      <c r="F29" s="498">
        <f t="shared" si="3"/>
        <v>987.67101478666666</v>
      </c>
      <c r="G29" s="498">
        <f t="shared" si="3"/>
        <v>22690.155714146571</v>
      </c>
      <c r="H29" s="498">
        <f t="shared" si="3"/>
        <v>7021.3256701595847</v>
      </c>
      <c r="I29" s="498">
        <f t="shared" si="3"/>
        <v>4472.9581397711845</v>
      </c>
      <c r="J29" s="498">
        <f t="shared" si="3"/>
        <v>757.18330871341027</v>
      </c>
      <c r="K29" s="498">
        <f t="shared" si="3"/>
        <v>0</v>
      </c>
      <c r="L29" s="498">
        <f t="shared" si="3"/>
        <v>260.50752395377015</v>
      </c>
      <c r="M29" s="498">
        <f t="shared" si="3"/>
        <v>2.5461373272025036</v>
      </c>
      <c r="N29" s="498">
        <f t="shared" si="3"/>
        <v>4560.8340917993501</v>
      </c>
      <c r="O29" s="498">
        <f t="shared" si="2"/>
        <v>140803.53201005305</v>
      </c>
    </row>
    <row r="30" spans="1:19">
      <c r="A30" s="126">
        <v>2036</v>
      </c>
      <c r="B30" s="497">
        <v>25</v>
      </c>
      <c r="C30" s="498">
        <f t="shared" si="3"/>
        <v>61283.281901518734</v>
      </c>
      <c r="D30" s="498">
        <f t="shared" si="3"/>
        <v>33462.962106539562</v>
      </c>
      <c r="E30" s="498">
        <f t="shared" si="3"/>
        <v>21634.647238625592</v>
      </c>
      <c r="F30" s="498">
        <f t="shared" si="3"/>
        <v>1027.9235893718742</v>
      </c>
      <c r="G30" s="498">
        <f t="shared" si="3"/>
        <v>23614.803111964786</v>
      </c>
      <c r="H30" s="498">
        <f t="shared" si="3"/>
        <v>7307.5252602562359</v>
      </c>
      <c r="I30" s="498">
        <f t="shared" si="3"/>
        <v>4657.794883572089</v>
      </c>
      <c r="J30" s="498">
        <f t="shared" si="3"/>
        <v>789.22435603561939</v>
      </c>
      <c r="K30" s="498">
        <f t="shared" si="3"/>
        <v>0</v>
      </c>
      <c r="L30" s="498">
        <f t="shared" si="3"/>
        <v>269.49050579359698</v>
      </c>
      <c r="M30" s="498">
        <f t="shared" si="3"/>
        <v>2.6339348119923267</v>
      </c>
      <c r="N30" s="498">
        <f t="shared" si="3"/>
        <v>4718.1035986423367</v>
      </c>
      <c r="O30" s="498">
        <f t="shared" si="2"/>
        <v>146025.43591836683</v>
      </c>
    </row>
    <row r="31" spans="1:19">
      <c r="A31" s="126">
        <v>2037</v>
      </c>
      <c r="B31" s="497">
        <v>26</v>
      </c>
      <c r="C31" s="498">
        <f t="shared" si="3"/>
        <v>63309.613899011732</v>
      </c>
      <c r="D31" s="498">
        <f t="shared" si="3"/>
        <v>34610.055877482562</v>
      </c>
      <c r="E31" s="498">
        <f t="shared" si="3"/>
        <v>22490.93082566974</v>
      </c>
      <c r="F31" s="498">
        <f t="shared" si="3"/>
        <v>1068.5646317872067</v>
      </c>
      <c r="G31" s="498">
        <f t="shared" si="3"/>
        <v>24548.593578005111</v>
      </c>
      <c r="H31" s="498">
        <f t="shared" si="3"/>
        <v>7596.5548397992152</v>
      </c>
      <c r="I31" s="498">
        <f t="shared" si="3"/>
        <v>4844.4593240306731</v>
      </c>
      <c r="J31" s="498">
        <f t="shared" si="3"/>
        <v>821.58223059626198</v>
      </c>
      <c r="K31" s="498">
        <f t="shared" si="3"/>
        <v>0</v>
      </c>
      <c r="L31" s="498">
        <f t="shared" si="3"/>
        <v>278.40121060519101</v>
      </c>
      <c r="M31" s="498">
        <f t="shared" si="3"/>
        <v>2.7210258786461585</v>
      </c>
      <c r="N31" s="498">
        <f t="shared" si="3"/>
        <v>4874.1077157974732</v>
      </c>
      <c r="O31" s="498">
        <f t="shared" si="2"/>
        <v>151246.9716671404</v>
      </c>
    </row>
    <row r="32" spans="1:19">
      <c r="A32" s="126">
        <v>2038</v>
      </c>
      <c r="B32" s="497">
        <v>27</v>
      </c>
      <c r="C32" s="498">
        <f t="shared" si="3"/>
        <v>65313.53019195341</v>
      </c>
      <c r="D32" s="498">
        <f t="shared" si="3"/>
        <v>35748.567253476424</v>
      </c>
      <c r="E32" s="498">
        <f t="shared" si="3"/>
        <v>23353.27305021806</v>
      </c>
      <c r="F32" s="498">
        <f t="shared" si="3"/>
        <v>1109.4937435841011</v>
      </c>
      <c r="G32" s="498">
        <f t="shared" si="3"/>
        <v>25489.226216870582</v>
      </c>
      <c r="H32" s="498">
        <f t="shared" si="3"/>
        <v>7887.7022288580665</v>
      </c>
      <c r="I32" s="498">
        <f t="shared" si="3"/>
        <v>5032.4915128315006</v>
      </c>
      <c r="J32" s="498">
        <f t="shared" si="3"/>
        <v>854.17720135573086</v>
      </c>
      <c r="K32" s="498">
        <f t="shared" si="3"/>
        <v>0</v>
      </c>
      <c r="L32" s="498">
        <f t="shared" si="3"/>
        <v>287.21334335324968</v>
      </c>
      <c r="M32" s="498">
        <f t="shared" si="3"/>
        <v>2.80715352586942</v>
      </c>
      <c r="N32" s="498">
        <f t="shared" si="3"/>
        <v>5028.3860830738813</v>
      </c>
      <c r="O32" s="498">
        <f t="shared" si="2"/>
        <v>156453.87267038817</v>
      </c>
    </row>
    <row r="33" spans="1:24">
      <c r="A33" s="126">
        <v>2039</v>
      </c>
      <c r="B33" s="497">
        <v>28</v>
      </c>
      <c r="C33" s="498">
        <f t="shared" si="3"/>
        <v>67288.632628525171</v>
      </c>
      <c r="D33" s="498">
        <f t="shared" si="3"/>
        <v>36874.95749434708</v>
      </c>
      <c r="E33" s="498">
        <f t="shared" si="3"/>
        <v>24219.284872732664</v>
      </c>
      <c r="F33" s="498">
        <f t="shared" si="3"/>
        <v>1150.5975462639574</v>
      </c>
      <c r="G33" s="498">
        <f t="shared" si="3"/>
        <v>26434.10050823179</v>
      </c>
      <c r="H33" s="498">
        <f t="shared" si="3"/>
        <v>8180.1625067094192</v>
      </c>
      <c r="I33" s="498">
        <f t="shared" si="3"/>
        <v>5221.3716067229552</v>
      </c>
      <c r="J33" s="498">
        <f t="shared" si="3"/>
        <v>886.91915461756855</v>
      </c>
      <c r="K33" s="498">
        <f t="shared" si="3"/>
        <v>0</v>
      </c>
      <c r="L33" s="498">
        <f t="shared" si="3"/>
        <v>295.89876844979142</v>
      </c>
      <c r="M33" s="498">
        <f t="shared" si="3"/>
        <v>2.8920427632522552</v>
      </c>
      <c r="N33" s="498">
        <f t="shared" si="3"/>
        <v>5180.4461168144289</v>
      </c>
      <c r="O33" s="498">
        <f t="shared" si="2"/>
        <v>161630.52571747208</v>
      </c>
    </row>
    <row r="34" spans="1:24">
      <c r="A34" s="126">
        <v>2040</v>
      </c>
      <c r="B34" s="497">
        <v>29</v>
      </c>
      <c r="C34" s="498">
        <f t="shared" si="3"/>
        <v>69227.662992430705</v>
      </c>
      <c r="D34" s="498">
        <f t="shared" si="3"/>
        <v>37985.167684676351</v>
      </c>
      <c r="E34" s="498">
        <f t="shared" si="3"/>
        <v>25086.087888774651</v>
      </c>
      <c r="F34" s="498">
        <f t="shared" si="3"/>
        <v>1191.7394308642693</v>
      </c>
      <c r="G34" s="498">
        <f t="shared" si="3"/>
        <v>27380.080365384059</v>
      </c>
      <c r="H34" s="498">
        <f t="shared" si="3"/>
        <v>8472.9649825456218</v>
      </c>
      <c r="I34" s="498">
        <f t="shared" si="3"/>
        <v>5410.4727028919915</v>
      </c>
      <c r="J34" s="498">
        <f t="shared" si="3"/>
        <v>919.69941814331082</v>
      </c>
      <c r="K34" s="498">
        <f t="shared" si="3"/>
        <v>0</v>
      </c>
      <c r="L34" s="498">
        <f t="shared" si="3"/>
        <v>304.42556821155637</v>
      </c>
      <c r="M34" s="498">
        <f t="shared" si="3"/>
        <v>2.9753816351032798</v>
      </c>
      <c r="N34" s="498">
        <f t="shared" si="3"/>
        <v>5329.7290183489949</v>
      </c>
      <c r="O34" s="498">
        <f t="shared" si="2"/>
        <v>166758.75168885948</v>
      </c>
    </row>
    <row r="35" spans="1:24">
      <c r="A35" s="126">
        <v>2041</v>
      </c>
      <c r="B35" s="497">
        <v>30</v>
      </c>
      <c r="C35" s="498">
        <f t="shared" si="3"/>
        <v>71123.196283076424</v>
      </c>
      <c r="D35" s="498">
        <f t="shared" si="3"/>
        <v>39075.00615953208</v>
      </c>
      <c r="E35" s="498">
        <f t="shared" si="3"/>
        <v>25950.588250608809</v>
      </c>
      <c r="F35" s="498">
        <f t="shared" si="3"/>
        <v>1232.772558231587</v>
      </c>
      <c r="G35" s="498">
        <f t="shared" si="3"/>
        <v>28323.792562672588</v>
      </c>
      <c r="H35" s="498">
        <f t="shared" si="3"/>
        <v>8765.065565611656</v>
      </c>
      <c r="I35" s="498">
        <f t="shared" si="3"/>
        <v>5599.1204945189365</v>
      </c>
      <c r="J35" s="498">
        <f t="shared" si="3"/>
        <v>952.40110231309973</v>
      </c>
      <c r="K35" s="498">
        <f t="shared" si="3"/>
        <v>0</v>
      </c>
      <c r="L35" s="498">
        <f t="shared" si="3"/>
        <v>312.76109152875745</v>
      </c>
      <c r="M35" s="498">
        <f t="shared" si="3"/>
        <v>3.0568510173981993</v>
      </c>
      <c r="N35" s="498">
        <f t="shared" si="3"/>
        <v>5475.6631485464241</v>
      </c>
      <c r="O35" s="498">
        <f t="shared" si="2"/>
        <v>171819.53914871582</v>
      </c>
    </row>
    <row r="36" spans="1:24">
      <c r="A36" s="126">
        <v>2042</v>
      </c>
      <c r="B36" s="497">
        <v>31</v>
      </c>
      <c r="C36" s="498">
        <f t="shared" si="3"/>
        <v>72967.807849971228</v>
      </c>
      <c r="D36" s="498">
        <f t="shared" si="3"/>
        <v>40140.239118027435</v>
      </c>
      <c r="E36" s="498">
        <f t="shared" si="3"/>
        <v>26809.532167485359</v>
      </c>
      <c r="F36" s="498">
        <f t="shared" si="3"/>
        <v>1273.542492682885</v>
      </c>
      <c r="G36" s="498">
        <f t="shared" si="3"/>
        <v>29261.687030386922</v>
      </c>
      <c r="H36" s="498">
        <f t="shared" si="3"/>
        <v>9055.3654278587492</v>
      </c>
      <c r="I36" s="498">
        <f t="shared" si="3"/>
        <v>5786.6053237092328</v>
      </c>
      <c r="J36" s="498">
        <f t="shared" si="3"/>
        <v>984.9011894751701</v>
      </c>
      <c r="K36" s="498">
        <f t="shared" si="3"/>
        <v>0</v>
      </c>
      <c r="L36" s="498">
        <f t="shared" si="3"/>
        <v>320.87268883116752</v>
      </c>
      <c r="M36" s="498">
        <f t="shared" si="3"/>
        <v>3.1361318011600021</v>
      </c>
      <c r="N36" s="498">
        <f t="shared" si="3"/>
        <v>5617.6768952293987</v>
      </c>
      <c r="O36" s="498">
        <f t="shared" si="2"/>
        <v>176793.43301848136</v>
      </c>
    </row>
    <row r="37" spans="1:24">
      <c r="A37" s="126">
        <v>2043</v>
      </c>
      <c r="B37" s="497">
        <v>32</v>
      </c>
      <c r="C37" s="498">
        <f t="shared" si="3"/>
        <v>74753.869127090933</v>
      </c>
      <c r="D37" s="498">
        <f t="shared" si="3"/>
        <v>41176.469075389759</v>
      </c>
      <c r="E37" s="498">
        <f t="shared" si="3"/>
        <v>27659.397221371728</v>
      </c>
      <c r="F37" s="498">
        <f t="shared" si="3"/>
        <v>1313.8820428792089</v>
      </c>
      <c r="G37" s="498">
        <f t="shared" si="3"/>
        <v>30189.917994273394</v>
      </c>
      <c r="H37" s="498">
        <f t="shared" si="3"/>
        <v>9342.6742138956506</v>
      </c>
      <c r="I37" s="498">
        <f t="shared" si="3"/>
        <v>5972.1584213168062</v>
      </c>
      <c r="J37" s="498">
        <f t="shared" si="3"/>
        <v>1017.0664151709373</v>
      </c>
      <c r="K37" s="498">
        <f t="shared" si="3"/>
        <v>0</v>
      </c>
      <c r="L37" s="498">
        <f t="shared" si="3"/>
        <v>328.72681383907479</v>
      </c>
      <c r="M37" s="498">
        <f t="shared" si="3"/>
        <v>3.2128961131907601</v>
      </c>
      <c r="N37" s="498">
        <f t="shared" si="3"/>
        <v>5755.1829470840621</v>
      </c>
      <c r="O37" s="498">
        <f t="shared" si="2"/>
        <v>181659.94611004196</v>
      </c>
    </row>
    <row r="38" spans="1:24">
      <c r="A38" s="126">
        <v>2044</v>
      </c>
      <c r="B38" s="497">
        <v>33</v>
      </c>
      <c r="C38" s="498">
        <f t="shared" si="3"/>
        <v>76474.429892258893</v>
      </c>
      <c r="D38" s="498">
        <f t="shared" si="3"/>
        <v>42179.641441807456</v>
      </c>
      <c r="E38" s="498">
        <f t="shared" si="3"/>
        <v>28496.792181187666</v>
      </c>
      <c r="F38" s="498">
        <f t="shared" si="3"/>
        <v>1353.6302387531071</v>
      </c>
      <c r="G38" s="498">
        <f t="shared" si="3"/>
        <v>31104.780387760038</v>
      </c>
      <c r="H38" s="498">
        <f t="shared" si="3"/>
        <v>9625.8451205878046</v>
      </c>
      <c r="I38" s="498">
        <f t="shared" si="3"/>
        <v>6155.0391456199077</v>
      </c>
      <c r="J38" s="498">
        <f t="shared" si="3"/>
        <v>1048.7683907696166</v>
      </c>
      <c r="K38" s="498">
        <f t="shared" si="3"/>
        <v>0</v>
      </c>
      <c r="L38" s="498">
        <f t="shared" si="3"/>
        <v>336.29290325965849</v>
      </c>
      <c r="M38" s="498">
        <f t="shared" si="3"/>
        <v>3.2868452352825992</v>
      </c>
      <c r="N38" s="498">
        <f t="shared" si="3"/>
        <v>5887.6462174237104</v>
      </c>
      <c r="O38" s="498">
        <f t="shared" si="2"/>
        <v>186399.90751658328</v>
      </c>
    </row>
    <row r="39" spans="1:24">
      <c r="A39" s="126">
        <v>2045</v>
      </c>
      <c r="B39" s="497">
        <v>34</v>
      </c>
      <c r="C39" s="498">
        <f t="shared" ref="C39:N40" si="4">C79+C119+C159+C199+C239</f>
        <v>78125.21904874318</v>
      </c>
      <c r="D39" s="498">
        <f t="shared" si="4"/>
        <v>43147.223389176746</v>
      </c>
      <c r="E39" s="498">
        <f t="shared" si="4"/>
        <v>29319.477338969456</v>
      </c>
      <c r="F39" s="498">
        <f t="shared" si="4"/>
        <v>1392.6807646172208</v>
      </c>
      <c r="G39" s="498">
        <f t="shared" si="4"/>
        <v>32003.825191461419</v>
      </c>
      <c r="H39" s="498">
        <f t="shared" si="4"/>
        <v>9904.1201202309112</v>
      </c>
      <c r="I39" s="498">
        <f t="shared" si="4"/>
        <v>6334.7579383612228</v>
      </c>
      <c r="J39" s="498">
        <f t="shared" si="4"/>
        <v>1079.9222524126103</v>
      </c>
      <c r="K39" s="498">
        <f t="shared" si="4"/>
        <v>0</v>
      </c>
      <c r="L39" s="498">
        <f t="shared" si="4"/>
        <v>343.55217513505249</v>
      </c>
      <c r="M39" s="498">
        <f t="shared" si="4"/>
        <v>3.3577955971367626</v>
      </c>
      <c r="N39" s="498">
        <f t="shared" si="4"/>
        <v>6014.7378812207699</v>
      </c>
      <c r="O39" s="498">
        <f t="shared" si="2"/>
        <v>191001.10383613568</v>
      </c>
    </row>
    <row r="40" spans="1:24">
      <c r="A40" s="126">
        <v>2046</v>
      </c>
      <c r="B40" s="497">
        <v>35</v>
      </c>
      <c r="C40" s="498">
        <f t="shared" si="4"/>
        <v>79201.798887742363</v>
      </c>
      <c r="D40" s="498">
        <f t="shared" si="4"/>
        <v>43780.616257874477</v>
      </c>
      <c r="E40" s="498">
        <f t="shared" si="4"/>
        <v>29864.977553441837</v>
      </c>
      <c r="F40" s="498">
        <f t="shared" si="4"/>
        <v>1418.5743608543667</v>
      </c>
      <c r="G40" s="498">
        <f t="shared" si="4"/>
        <v>32600.072662292714</v>
      </c>
      <c r="H40" s="498">
        <f t="shared" si="4"/>
        <v>10088.672396212804</v>
      </c>
      <c r="I40" s="498">
        <f t="shared" si="4"/>
        <v>6453.9476330145881</v>
      </c>
      <c r="J40" s="498">
        <f t="shared" si="4"/>
        <v>1100.5835266169522</v>
      </c>
      <c r="K40" s="498">
        <f t="shared" si="4"/>
        <v>0</v>
      </c>
      <c r="L40" s="498">
        <f t="shared" si="4"/>
        <v>348.28638708220825</v>
      </c>
      <c r="M40" s="498">
        <f t="shared" si="4"/>
        <v>3.4040666359558962</v>
      </c>
      <c r="N40" s="498">
        <f t="shared" si="4"/>
        <v>6097.6220717373681</v>
      </c>
      <c r="O40" s="498">
        <f t="shared" si="2"/>
        <v>194026.75165629195</v>
      </c>
      <c r="P40" s="466">
        <f>SUM(E12:K40)*'Painel de Controle'!D44</f>
        <v>-121657.84122873144</v>
      </c>
    </row>
    <row r="41" spans="1:24">
      <c r="B41" s="514" t="s">
        <v>4</v>
      </c>
      <c r="C41" s="515">
        <f>SUM(C6:C40)</f>
        <v>1627081.6422793698</v>
      </c>
      <c r="D41" s="515">
        <f t="shared" ref="D41:O41" si="5">SUM(D6:D40)</f>
        <v>890864.17959881597</v>
      </c>
      <c r="E41" s="515">
        <f t="shared" si="5"/>
        <v>589560.62623681757</v>
      </c>
      <c r="F41" s="515">
        <f t="shared" si="5"/>
        <v>28032.215019651096</v>
      </c>
      <c r="G41" s="515">
        <f t="shared" si="5"/>
        <v>645151.65304900275</v>
      </c>
      <c r="H41" s="515">
        <f t="shared" si="5"/>
        <v>199613.3084311093</v>
      </c>
      <c r="I41" s="515">
        <f t="shared" si="5"/>
        <v>126281.33438880995</v>
      </c>
      <c r="J41" s="515">
        <f t="shared" si="5"/>
        <v>21112.877355422199</v>
      </c>
      <c r="K41" s="515">
        <f t="shared" si="5"/>
        <v>0</v>
      </c>
      <c r="L41" s="515">
        <f t="shared" si="5"/>
        <v>7153.2128548197079</v>
      </c>
      <c r="M41" s="515">
        <f t="shared" si="5"/>
        <v>69.941042810986076</v>
      </c>
      <c r="N41" s="515">
        <f t="shared" si="5"/>
        <v>125268.95695219838</v>
      </c>
      <c r="O41" s="515">
        <f t="shared" si="5"/>
        <v>3933581.0998903485</v>
      </c>
      <c r="P41" s="466">
        <f>SUM(O12:O40)</f>
        <v>3711748.4992986997</v>
      </c>
      <c r="R41" s="466">
        <v>3931974.6838610801</v>
      </c>
      <c r="S41" s="500">
        <f>R41-P41</f>
        <v>220226.18456238043</v>
      </c>
      <c r="T41" s="468"/>
    </row>
    <row r="42" spans="1:24">
      <c r="O42" s="466">
        <v>4091522.9250985999</v>
      </c>
      <c r="P42" s="511">
        <f>O41/O42-1</f>
        <v>-3.8602209519440822E-2</v>
      </c>
      <c r="R42" s="467">
        <f>P41/R41-1</f>
        <v>-5.6009054551217297E-2</v>
      </c>
    </row>
    <row r="43" spans="1:24">
      <c r="B43" s="516" t="s">
        <v>247</v>
      </c>
      <c r="C43" s="517"/>
      <c r="D43" s="517"/>
      <c r="E43" s="517"/>
      <c r="F43" s="517"/>
      <c r="G43" s="517"/>
      <c r="H43" s="517"/>
      <c r="I43" s="517"/>
      <c r="J43" s="517"/>
      <c r="K43" s="517"/>
      <c r="L43" s="517"/>
      <c r="M43" s="517"/>
      <c r="N43" s="518" t="s">
        <v>131</v>
      </c>
      <c r="O43" s="139">
        <f>QDL!$C$36</f>
        <v>4.7525160660998287</v>
      </c>
    </row>
    <row r="44" spans="1:24" ht="13.5" thickBot="1">
      <c r="B44" s="902" t="s">
        <v>31</v>
      </c>
      <c r="C44" s="495" t="s">
        <v>32</v>
      </c>
      <c r="D44" s="495" t="s">
        <v>33</v>
      </c>
      <c r="E44" s="495" t="s">
        <v>34</v>
      </c>
      <c r="F44" s="495" t="s">
        <v>35</v>
      </c>
      <c r="G44" s="495" t="s">
        <v>36</v>
      </c>
      <c r="H44" s="495" t="s">
        <v>37</v>
      </c>
      <c r="I44" s="495" t="s">
        <v>38</v>
      </c>
      <c r="J44" s="495" t="s">
        <v>39</v>
      </c>
      <c r="K44" s="495" t="s">
        <v>40</v>
      </c>
      <c r="L44" s="495" t="s">
        <v>240</v>
      </c>
      <c r="M44" s="495" t="s">
        <v>241</v>
      </c>
      <c r="N44" s="495" t="s">
        <v>242</v>
      </c>
      <c r="O44" s="902" t="s">
        <v>41</v>
      </c>
    </row>
    <row r="45" spans="1:24" ht="12.75" customHeight="1">
      <c r="B45" s="903"/>
      <c r="C45" s="496">
        <f>C$5</f>
        <v>1</v>
      </c>
      <c r="D45" s="496">
        <f t="shared" ref="D45:N45" si="6">D$5</f>
        <v>2</v>
      </c>
      <c r="E45" s="496">
        <f t="shared" si="6"/>
        <v>3</v>
      </c>
      <c r="F45" s="496">
        <f t="shared" si="6"/>
        <v>4</v>
      </c>
      <c r="G45" s="496">
        <f t="shared" si="6"/>
        <v>5</v>
      </c>
      <c r="H45" s="496">
        <f t="shared" si="6"/>
        <v>6</v>
      </c>
      <c r="I45" s="496">
        <f t="shared" si="6"/>
        <v>7</v>
      </c>
      <c r="J45" s="496">
        <f t="shared" si="6"/>
        <v>8</v>
      </c>
      <c r="K45" s="496">
        <f t="shared" si="6"/>
        <v>9</v>
      </c>
      <c r="L45" s="496">
        <f t="shared" si="6"/>
        <v>1.5</v>
      </c>
      <c r="M45" s="496">
        <f t="shared" si="6"/>
        <v>2</v>
      </c>
      <c r="N45" s="496">
        <f t="shared" si="6"/>
        <v>0.5</v>
      </c>
      <c r="O45" s="903"/>
      <c r="P45" s="907" t="s">
        <v>426</v>
      </c>
      <c r="V45" s="519"/>
    </row>
    <row r="46" spans="1:24">
      <c r="A46" s="126">
        <v>2012</v>
      </c>
      <c r="B46" s="497">
        <v>1</v>
      </c>
      <c r="C46" s="520">
        <f>QDA!C46*C$45*$O$43/1000</f>
        <v>0</v>
      </c>
      <c r="D46" s="520">
        <f>QDA!D46*D$45*$O$43/1000</f>
        <v>0</v>
      </c>
      <c r="E46" s="520">
        <f>QDA!E46*E$45*$O$43/1000</f>
        <v>0</v>
      </c>
      <c r="F46" s="520">
        <f>QDA!F46*F$45*$O$43/1000</f>
        <v>0</v>
      </c>
      <c r="G46" s="520">
        <f>QDA!G46*G$45*$O$43/1000</f>
        <v>0</v>
      </c>
      <c r="H46" s="520">
        <f>QDA!H46*H$45*$O$43/1000</f>
        <v>0</v>
      </c>
      <c r="I46" s="520">
        <f>QDA!I46*I$45*$O$43/1000</f>
        <v>0</v>
      </c>
      <c r="J46" s="520">
        <f>QDA!J46*J$45*$O$43/1000</f>
        <v>0</v>
      </c>
      <c r="K46" s="520">
        <f>QDA!K46*K$45*$O$43/1000</f>
        <v>0</v>
      </c>
      <c r="L46" s="520">
        <f>QDA!L46*L$45*$O$43/1000</f>
        <v>0</v>
      </c>
      <c r="M46" s="520">
        <f>QDA!M46*M$45*$O$43/1000</f>
        <v>0</v>
      </c>
      <c r="N46" s="520">
        <f>QDA!N46*N$45*$O$43/1000</f>
        <v>0</v>
      </c>
      <c r="O46" s="10">
        <f>SUM(C46:N46)</f>
        <v>0</v>
      </c>
      <c r="P46" s="908"/>
    </row>
    <row r="47" spans="1:24">
      <c r="A47" s="126">
        <v>2013</v>
      </c>
      <c r="B47" s="497">
        <v>2</v>
      </c>
      <c r="C47" s="521">
        <f>QDA!C47*C$45*$R$47/1000</f>
        <v>0</v>
      </c>
      <c r="D47" s="521">
        <f>QDA!D47*D$45*$R$47/1000</f>
        <v>0</v>
      </c>
      <c r="E47" s="521">
        <f>QDA!E47*E$45*$R$47/1000</f>
        <v>0</v>
      </c>
      <c r="F47" s="521">
        <f>QDA!F47*F$45*$R$47/1000</f>
        <v>0</v>
      </c>
      <c r="G47" s="521">
        <f>QDA!G47*G$45*$R$47/1000</f>
        <v>0</v>
      </c>
      <c r="H47" s="521">
        <f>QDA!H47*H$45*$R$47/1000</f>
        <v>0</v>
      </c>
      <c r="I47" s="521">
        <f>QDA!I47*I$45*$R$47/1000</f>
        <v>0</v>
      </c>
      <c r="J47" s="521">
        <f>QDA!J47*J$45*$R$47/1000</f>
        <v>0</v>
      </c>
      <c r="K47" s="521">
        <f>QDA!K47*K$45*$R$47/1000</f>
        <v>0</v>
      </c>
      <c r="L47" s="521">
        <f>QDA!L47*L$45*$R$47/1000</f>
        <v>0</v>
      </c>
      <c r="M47" s="521">
        <f>QDA!M47*M$45*$R$47/1000</f>
        <v>0</v>
      </c>
      <c r="N47" s="521">
        <f>QDA!N47*N$45*$R$47/1000</f>
        <v>0</v>
      </c>
      <c r="O47" s="10">
        <f>SUM(C47:N47)</f>
        <v>0</v>
      </c>
      <c r="P47" s="908"/>
      <c r="R47" s="315">
        <v>0</v>
      </c>
      <c r="T47" s="527"/>
      <c r="U47" s="527"/>
      <c r="W47" s="557"/>
      <c r="X47" s="527"/>
    </row>
    <row r="48" spans="1:24">
      <c r="A48" s="126">
        <v>2014</v>
      </c>
      <c r="B48" s="497">
        <v>3</v>
      </c>
      <c r="C48" s="521">
        <f>QDA!C48*C$45*$R48/1000</f>
        <v>5016.9035393874328</v>
      </c>
      <c r="D48" s="521">
        <f>QDA!D48*D$45*$R48/1000</f>
        <v>3479.3051531800306</v>
      </c>
      <c r="E48" s="521">
        <f>QDA!E48*E$45*$R48/1000</f>
        <v>2592.1644844096204</v>
      </c>
      <c r="F48" s="521">
        <f>QDA!F48*F$45*$R48/1000</f>
        <v>147.4795788672366</v>
      </c>
      <c r="G48" s="521">
        <f>QDA!G48*G$45*$R48/1000</f>
        <v>3422.2517740457279</v>
      </c>
      <c r="H48" s="521">
        <f>QDA!H48*H$45*$R48/1000</f>
        <v>1066.9083295090163</v>
      </c>
      <c r="I48" s="521">
        <f>QDA!I48*I$45*$R48/1000</f>
        <v>580.22963259352036</v>
      </c>
      <c r="J48" s="521">
        <f>QDA!J48*J$45*$R48/1000</f>
        <v>67.067892660601075</v>
      </c>
      <c r="K48" s="521">
        <f>QDA!K48*K$45*$R48/1000</f>
        <v>0</v>
      </c>
      <c r="L48" s="521">
        <f>QDA!L48*L$45*$R48/1000</f>
        <v>10.723707635788195</v>
      </c>
      <c r="M48" s="521">
        <f>QDA!M48*M$45*$R48/1000</f>
        <v>0.37144911209246112</v>
      </c>
      <c r="N48" s="521">
        <f>QDA!N48*N$45*$R48/1000</f>
        <v>423.82335475411179</v>
      </c>
      <c r="O48" s="526">
        <f>SUM(C48:N48)*(1-P48)</f>
        <v>16807.228896155179</v>
      </c>
      <c r="P48" s="270">
        <f>IF('Painel de Controle'!$G$14="PP01",IF('Painel de Controle'!$H$15-1&lt;QDB!B48,0,'Painel de Controle'!$H$14),0)</f>
        <v>0</v>
      </c>
      <c r="R48" s="315">
        <f>QD0!P9</f>
        <v>3.8356302866944683</v>
      </c>
      <c r="T48" s="527"/>
      <c r="U48" s="527"/>
      <c r="W48" s="528"/>
      <c r="X48" s="527"/>
    </row>
    <row r="49" spans="1:25">
      <c r="A49" s="126">
        <v>2015</v>
      </c>
      <c r="B49" s="497">
        <v>4</v>
      </c>
      <c r="C49" s="521">
        <f>QDA!C49*C$45*$R49/1000</f>
        <v>6471.6001584860023</v>
      </c>
      <c r="D49" s="521">
        <f>QDA!D49*D$45*$R49/1000</f>
        <v>4480.9000154636369</v>
      </c>
      <c r="E49" s="521">
        <f>QDA!E49*E$45*$R49/1000</f>
        <v>3303.9184294148345</v>
      </c>
      <c r="F49" s="521">
        <f>QDA!F49*F$45*$R49/1000</f>
        <v>188.06627438266378</v>
      </c>
      <c r="G49" s="521">
        <f>QDA!G49*G$45*$R49/1000</f>
        <v>4363.4513023510017</v>
      </c>
      <c r="H49" s="521">
        <f>QDA!H49*H$45*$R49/1000</f>
        <v>1360.3373766039481</v>
      </c>
      <c r="I49" s="521">
        <f>QDA!I49*I$45*$R49/1000</f>
        <v>739.80683222849689</v>
      </c>
      <c r="J49" s="521">
        <f>QDA!J49*J$45*$R49/1000</f>
        <v>85.519074160623447</v>
      </c>
      <c r="K49" s="521">
        <f>QDA!K49*K$45*$R49/1000</f>
        <v>0</v>
      </c>
      <c r="L49" s="521">
        <f>QDA!L49*L$45*$R49/1000</f>
        <v>13.833143788887391</v>
      </c>
      <c r="M49" s="521">
        <f>QDA!M49*M$45*$R49/1000</f>
        <v>0.47915414634034814</v>
      </c>
      <c r="N49" s="521">
        <f>QDA!N49*N$45*$R49/1000</f>
        <v>546.71477501273193</v>
      </c>
      <c r="O49" s="526">
        <f>SUM(C49:N49)*(1-P49)</f>
        <v>21554.62653603917</v>
      </c>
      <c r="P49" s="270">
        <f>IF('Painel de Controle'!$G$14="PP01",IF('Painel de Controle'!$H$15&lt;QDB!B49,0,'Painel de Controle'!$H$14)*Z89,0)</f>
        <v>0</v>
      </c>
      <c r="R49" s="315">
        <f>QD0!P10</f>
        <v>4.60527978501145</v>
      </c>
    </row>
    <row r="50" spans="1:25">
      <c r="A50" s="126">
        <v>2016</v>
      </c>
      <c r="B50" s="497">
        <v>5</v>
      </c>
      <c r="C50" s="521">
        <f>QDA!C50*C$45*$R50/1000</f>
        <v>6932.8392236490799</v>
      </c>
      <c r="D50" s="521">
        <f>QDA!D50*D$45*$R50/1000</f>
        <v>4793.9717074961345</v>
      </c>
      <c r="E50" s="521">
        <f>QDA!E50*E$45*$R50/1000</f>
        <v>3504.0373362255909</v>
      </c>
      <c r="F50" s="521">
        <f>QDA!F50*F$45*$R50/1000</f>
        <v>199.54705812412604</v>
      </c>
      <c r="G50" s="521">
        <f>QDA!G50*G$45*$R50/1000</f>
        <v>4629.2929133252792</v>
      </c>
      <c r="H50" s="521">
        <f>QDA!H50*H$45*$R50/1000</f>
        <v>1443.2195702189231</v>
      </c>
      <c r="I50" s="521">
        <f>QDA!I50*I$45*$R50/1000</f>
        <v>784.87971267790419</v>
      </c>
      <c r="J50" s="521">
        <f>QDA!J50*J$45*$R50/1000</f>
        <v>90.73513166252441</v>
      </c>
      <c r="K50" s="521">
        <f>QDA!K50*K$45*$R50/1000</f>
        <v>0</v>
      </c>
      <c r="L50" s="521">
        <f>QDA!L50*L$45*$R50/1000</f>
        <v>14.819049307337329</v>
      </c>
      <c r="M50" s="521">
        <f>QDA!M50*M$45*$R50/1000</f>
        <v>0.51330406368918768</v>
      </c>
      <c r="N50" s="521">
        <f>QDA!N50*N$45*$R50/1000</f>
        <v>585.67982315574147</v>
      </c>
      <c r="O50" s="526">
        <f>SUM(C50:N50)*(1-P50)</f>
        <v>22979.53482990633</v>
      </c>
      <c r="P50" s="270">
        <f>IF('Painel de Controle'!$G$14="PP01",IF('Painel de Controle'!$H$15&lt;QDB!B50,0,'Painel de Controle'!$H$14)*Z90,0)</f>
        <v>0</v>
      </c>
      <c r="R50" s="315">
        <f>QD0!P11</f>
        <v>4.60527978501145</v>
      </c>
    </row>
    <row r="51" spans="1:25" ht="13.5" thickBot="1">
      <c r="A51" s="126">
        <v>2017</v>
      </c>
      <c r="B51" s="497">
        <v>6</v>
      </c>
      <c r="C51" s="521">
        <f>QDA!C51*C$45*$R51/1000</f>
        <v>7416.8963482886629</v>
      </c>
      <c r="D51" s="521">
        <f>QDA!D51*D$45*$R51/1000</f>
        <v>5120.2309428089229</v>
      </c>
      <c r="E51" s="521">
        <f>QDA!E51*E$45*$R51/1000</f>
        <v>3702.2898868062548</v>
      </c>
      <c r="F51" s="521">
        <f>QDA!F51*F$45*$R51/1000</f>
        <v>210.94612301868409</v>
      </c>
      <c r="G51" s="521">
        <f>QDA!G51*G$45*$R51/1000</f>
        <v>4893.0121852968605</v>
      </c>
      <c r="H51" s="521">
        <f>QDA!H51*H$45*$R51/1000</f>
        <v>1525.4411976216804</v>
      </c>
      <c r="I51" s="521">
        <f>QDA!I51*I$45*$R51/1000</f>
        <v>829.59287123399508</v>
      </c>
      <c r="J51" s="521">
        <f>QDA!J51*J$45*$R51/1000</f>
        <v>95.911122751667378</v>
      </c>
      <c r="K51" s="521">
        <f>QDA!K51*K$45*$R51/1000</f>
        <v>0</v>
      </c>
      <c r="L51" s="521">
        <f>QDA!L51*L$45*$R51/1000</f>
        <v>15.853728775041224</v>
      </c>
      <c r="M51" s="521">
        <f>QDA!M51*M$45*$R51/1000</f>
        <v>0.54914341912781284</v>
      </c>
      <c r="N51" s="521">
        <f>QDA!N51*N$45*$R51/1000</f>
        <v>626.57251978558861</v>
      </c>
      <c r="O51" s="526">
        <f>SUM(C51:N51)*(1-P51)</f>
        <v>24437.296069806482</v>
      </c>
      <c r="P51" s="210">
        <f>IF('Painel de Controle'!$G$14="PP01",IF('Painel de Controle'!$H$15&lt;QDB!B51,0,'Painel de Controle'!$H$14)*Z91,0)</f>
        <v>0</v>
      </c>
      <c r="R51" s="315">
        <f>QD0!P12</f>
        <v>4.60527978501145</v>
      </c>
    </row>
    <row r="52" spans="1:25">
      <c r="A52" s="126">
        <v>2018</v>
      </c>
      <c r="B52" s="497">
        <v>7</v>
      </c>
      <c r="C52" s="521">
        <f>QDA!C52*C$45*$R52/1000</f>
        <v>7998.4775907015046</v>
      </c>
      <c r="D52" s="521">
        <f>QDA!D52*D$45*$R52/1000</f>
        <v>5508.2407837240926</v>
      </c>
      <c r="E52" s="521">
        <f>QDA!E52*E$45*$R52/1000</f>
        <v>3921.1129469942116</v>
      </c>
      <c r="F52" s="521">
        <f>QDA!F52*F$45*$R52/1000</f>
        <v>223.5630826821556</v>
      </c>
      <c r="G52" s="521">
        <f>QDA!G52*G$45*$R52/1000</f>
        <v>5184.4850830093965</v>
      </c>
      <c r="H52" s="521">
        <f>QDA!H52*H$45*$R52/1000</f>
        <v>1616.3172601169247</v>
      </c>
      <c r="I52" s="521">
        <f>QDA!I52*I$45*$R52/1000</f>
        <v>879.01176470621272</v>
      </c>
      <c r="J52" s="521">
        <f>QDA!J52*J$45*$R52/1000</f>
        <v>101.63392569380187</v>
      </c>
      <c r="K52" s="521">
        <f>QDA!K52*K$45*$R52/1000</f>
        <v>0</v>
      </c>
      <c r="L52" s="521">
        <f>QDA!L52*L$45*$R52/1000</f>
        <v>17.096867528084758</v>
      </c>
      <c r="M52" s="521">
        <f>QDA!M52*M$45*$R52/1000</f>
        <v>0.59220341308780378</v>
      </c>
      <c r="N52" s="521">
        <f>QDA!N52*N$45*$R52/1000</f>
        <v>675.70396337152033</v>
      </c>
      <c r="O52" s="10">
        <f>SUM(C52:N52)+(SUM(C52:N52)*IF('Painel de Controle'!$D$45="Aditivo3",-'Levantamento eixo suspenso ADT3'!$I$16,-'Eixo Suspenso Pleito 6'!D17)*S24)</f>
        <v>25260.974073421625</v>
      </c>
      <c r="P52" s="530"/>
      <c r="R52" s="315">
        <f>QD0!P13</f>
        <v>4.6504420533133422</v>
      </c>
      <c r="T52" s="91"/>
      <c r="U52" s="91"/>
      <c r="V52" s="91"/>
      <c r="W52" s="91"/>
      <c r="X52" s="91"/>
      <c r="Y52" s="91"/>
    </row>
    <row r="53" spans="1:25">
      <c r="A53" s="126">
        <v>2019</v>
      </c>
      <c r="B53" s="497">
        <v>8</v>
      </c>
      <c r="C53" s="521">
        <f>QDA!C53*C$45*$R53/1000</f>
        <v>8959.4105084133553</v>
      </c>
      <c r="D53" s="521">
        <f>QDA!D53*D$45*$R53/1000</f>
        <v>6157.9523430311137</v>
      </c>
      <c r="E53" s="521">
        <f>QDA!E53*E$45*$R53/1000</f>
        <v>4327.1770228608248</v>
      </c>
      <c r="F53" s="521">
        <f>QDA!F53*F$45*$R53/1000</f>
        <v>246.86309551735451</v>
      </c>
      <c r="G53" s="521">
        <f>QDA!G53*G$45*$R53/1000</f>
        <v>5723.7463561192781</v>
      </c>
      <c r="H53" s="521">
        <f>QDA!H53*H$45*$R53/1000</f>
        <v>1784.4443319249201</v>
      </c>
      <c r="I53" s="521">
        <f>QDA!I53*I$45*$R53/1000</f>
        <v>970.44237368257177</v>
      </c>
      <c r="J53" s="521">
        <f>QDA!J53*J$45*$R53/1000</f>
        <v>112.21480500960024</v>
      </c>
      <c r="K53" s="521">
        <f>QDA!K53*K$45*$R53/1000</f>
        <v>0</v>
      </c>
      <c r="L53" s="521">
        <f>QDA!L53*L$45*$R53/1000</f>
        <v>19.150876258020393</v>
      </c>
      <c r="M53" s="521">
        <f>QDA!M53*M$45*$R53/1000</f>
        <v>0.66335042164840052</v>
      </c>
      <c r="N53" s="521">
        <f>QDA!N53*N$45*$R53/1000</f>
        <v>756.88268440549507</v>
      </c>
      <c r="O53" s="10">
        <f>SUM(C53:N53)+SUM(C53:N53)*IF('Painel de Controle'!$D$45="Aditivo3",-'Levantamento eixo suspenso ADT3'!$I$16,-'Eixo Suspenso Pleito 6'!$D$18)</f>
        <v>26767.547871084502</v>
      </c>
      <c r="P53" s="513"/>
      <c r="R53" s="315">
        <f>QD0!P14</f>
        <v>4.8910911491809559</v>
      </c>
      <c r="T53" s="91"/>
      <c r="U53" s="91"/>
      <c r="V53" s="91"/>
      <c r="W53" s="91"/>
      <c r="X53" s="91"/>
      <c r="Y53" s="91"/>
    </row>
    <row r="54" spans="1:25">
      <c r="A54" s="126">
        <v>2020</v>
      </c>
      <c r="B54" s="497">
        <v>9</v>
      </c>
      <c r="C54" s="521">
        <f>QDA!C54*C$45*$R54/1000</f>
        <v>9616.9965480961819</v>
      </c>
      <c r="D54" s="521">
        <f>QDA!D54*D$45*$R54/1000</f>
        <v>6599.7597571033721</v>
      </c>
      <c r="E54" s="521">
        <f>QDA!E54*E$45*$R54/1000</f>
        <v>4588.5257136289792</v>
      </c>
      <c r="F54" s="521">
        <f>QDA!F54*F$45*$R54/1000</f>
        <v>261.91513337993933</v>
      </c>
      <c r="G54" s="521">
        <f>QDA!G54*G$45*$R54/1000</f>
        <v>6071.8297007945202</v>
      </c>
      <c r="H54" s="521">
        <f>QDA!H54*H$45*$R54/1000</f>
        <v>1892.9698995722013</v>
      </c>
      <c r="I54" s="521">
        <f>QDA!I54*I$45*$R54/1000</f>
        <v>1029.4594383893691</v>
      </c>
      <c r="J54" s="521">
        <f>QDA!J54*J$45*$R54/1000</f>
        <v>119.04822421120933</v>
      </c>
      <c r="K54" s="521">
        <f>QDA!K54*K$45*$R54/1000</f>
        <v>0</v>
      </c>
      <c r="L54" s="521">
        <f>QDA!L54*L$45*$R54/1000</f>
        <v>20.556476421462143</v>
      </c>
      <c r="M54" s="521">
        <f>QDA!M54*M$45*$R54/1000</f>
        <v>0.71203777404553437</v>
      </c>
      <c r="N54" s="521">
        <f>QDA!N54*N$45*$R54/1000</f>
        <v>812.43494272375574</v>
      </c>
      <c r="O54" s="10">
        <f>SUM(C54:N54)+SUM(C54:N54)*IF('Painel de Controle'!$D$45="Aditivo3",-'Levantamento eixo suspenso ADT3'!$I$16,-'Eixo Suspenso Pleito 6'!$D$19)</f>
        <v>28449.255031108514</v>
      </c>
      <c r="P54" s="530"/>
      <c r="R54" s="315">
        <f>QD0!P15</f>
        <v>4.9375608950411713</v>
      </c>
      <c r="T54" s="91"/>
      <c r="U54" s="91"/>
      <c r="V54" s="91"/>
      <c r="W54" s="91"/>
      <c r="X54" s="91"/>
      <c r="Y54" s="91"/>
    </row>
    <row r="55" spans="1:25">
      <c r="A55" s="126">
        <v>2021</v>
      </c>
      <c r="B55" s="497">
        <v>10</v>
      </c>
      <c r="C55" s="521">
        <f>QDA!C55*C$45*$R55/1000</f>
        <v>10207.769673179537</v>
      </c>
      <c r="D55" s="521">
        <f>QDA!D55*D$45*$R55/1000</f>
        <v>6996.9628055528092</v>
      </c>
      <c r="E55" s="521">
        <f>QDA!E55*E$45*$R55/1000</f>
        <v>4823.2559665929257</v>
      </c>
      <c r="F55" s="521">
        <f>QDA!F55*F$45*$R55/1000</f>
        <v>275.44817776810476</v>
      </c>
      <c r="G55" s="521">
        <f>QDA!G55*G$45*$R55/1000</f>
        <v>6384.8184893386988</v>
      </c>
      <c r="H55" s="521">
        <f>QDA!H55*H$45*$R55/1000</f>
        <v>1990.5543865826305</v>
      </c>
      <c r="I55" s="521">
        <f>QDA!I55*I$45*$R55/1000</f>
        <v>1082.5263421381958</v>
      </c>
      <c r="J55" s="521">
        <f>QDA!J55*J$45*$R55/1000</f>
        <v>125.19368642898385</v>
      </c>
      <c r="K55" s="521">
        <f>QDA!K55*K$45*$R55/1000</f>
        <v>0</v>
      </c>
      <c r="L55" s="521">
        <f>QDA!L55*L$45*$R55/1000</f>
        <v>21.819262963546702</v>
      </c>
      <c r="M55" s="521">
        <f>QDA!M55*M$45*$R55/1000</f>
        <v>0.75577833055364185</v>
      </c>
      <c r="N55" s="521">
        <f>QDA!N55*N$45*$R55/1000</f>
        <v>862.34290802658654</v>
      </c>
      <c r="O55" s="10">
        <f>SUM(C55:N55)+SUM(C55:N55)*IF('Painel de Controle'!$D$45="Aditivo3",-'Levantamento eixo suspenso ADT3'!$I$16,-'Eixo Suspenso Pleito 6'!$D$20)</f>
        <v>30141.169087926257</v>
      </c>
      <c r="P55" s="530"/>
      <c r="R55" s="315">
        <f>QD0!P16</f>
        <v>4.9375608950411713</v>
      </c>
      <c r="T55" s="91"/>
      <c r="U55" s="91"/>
      <c r="V55" s="91"/>
      <c r="W55" s="91"/>
      <c r="X55" s="91"/>
      <c r="Y55" s="91"/>
    </row>
    <row r="56" spans="1:25">
      <c r="A56" s="126">
        <v>2022</v>
      </c>
      <c r="B56" s="497">
        <v>11</v>
      </c>
      <c r="C56" s="521">
        <f>QDA!C56*C$45*$R56/1000</f>
        <v>10814.907800650399</v>
      </c>
      <c r="D56" s="521">
        <f>QDA!D56*D$45*$R56/1000</f>
        <v>7406.786634411219</v>
      </c>
      <c r="E56" s="521">
        <f>QDA!E56*E$45*$R56/1000</f>
        <v>5071.787161428816</v>
      </c>
      <c r="F56" s="521">
        <f>QDA!F56*F$45*$R56/1000</f>
        <v>289.76802569987535</v>
      </c>
      <c r="G56" s="521">
        <f>QDA!G56*G$45*$R56/1000</f>
        <v>6716.1799607053636</v>
      </c>
      <c r="H56" s="521">
        <f>QDA!H56*H$45*$R56/1000</f>
        <v>2093.8668228642955</v>
      </c>
      <c r="I56" s="521">
        <f>QDA!I56*I$45*$R56/1000</f>
        <v>1138.708279258437</v>
      </c>
      <c r="J56" s="521">
        <f>QDA!J56*J$45*$R56/1000</f>
        <v>131.69942094134902</v>
      </c>
      <c r="K56" s="521">
        <f>QDA!K56*K$45*$R56/1000</f>
        <v>0</v>
      </c>
      <c r="L56" s="521">
        <f>QDA!L56*L$45*$R56/1000</f>
        <v>23.117029947189444</v>
      </c>
      <c r="M56" s="521">
        <f>QDA!M56*M$45*$R56/1000</f>
        <v>0.8007305439250928</v>
      </c>
      <c r="N56" s="521">
        <f>QDA!N56*N$45*$R56/1000</f>
        <v>913.63337354254315</v>
      </c>
      <c r="O56" s="10">
        <f>SUM(C56:N56)+SUM(C56:N56)*IF('Painel de Controle'!$D$45="Aditivo3",-'Levantamento eixo suspenso ADT3'!$I$16,-'Eixo Suspenso Pleito 6'!$D$20)</f>
        <v>31824.114134054995</v>
      </c>
      <c r="P56" s="530"/>
      <c r="R56" s="315">
        <f>QD0!P17</f>
        <v>4.9375608950411713</v>
      </c>
      <c r="T56" s="91"/>
      <c r="U56" s="91"/>
      <c r="V56" s="91"/>
      <c r="W56" s="91"/>
      <c r="X56" s="91"/>
      <c r="Y56" s="91"/>
    </row>
    <row r="57" spans="1:25">
      <c r="A57" s="126">
        <v>2023</v>
      </c>
      <c r="B57" s="497">
        <v>12</v>
      </c>
      <c r="C57" s="521">
        <f>QDA!C57*C$45*$R57/1000</f>
        <v>11436.301808026754</v>
      </c>
      <c r="D57" s="521">
        <f>QDA!D57*D$45*$R57/1000</f>
        <v>7827.830133068378</v>
      </c>
      <c r="E57" s="521">
        <f>QDA!E57*E$45*$R57/1000</f>
        <v>5333.3199848302156</v>
      </c>
      <c r="F57" s="521">
        <f>QDA!F57*F$45*$R57/1000</f>
        <v>304.82893824049597</v>
      </c>
      <c r="G57" s="521">
        <f>QDA!G57*G$45*$R57/1000</f>
        <v>7064.8581650475553</v>
      </c>
      <c r="H57" s="521">
        <f>QDA!H57*H$45*$R57/1000</f>
        <v>2202.5779996462697</v>
      </c>
      <c r="I57" s="521">
        <f>QDA!I57*I$45*$R57/1000</f>
        <v>1197.8262164952773</v>
      </c>
      <c r="J57" s="521">
        <f>QDA!J57*J$45*$R57/1000</f>
        <v>138.54471987282756</v>
      </c>
      <c r="K57" s="521">
        <f>QDA!K57*K$45*$R57/1000</f>
        <v>0</v>
      </c>
      <c r="L57" s="521">
        <f>QDA!L57*L$45*$R57/1000</f>
        <v>24.445269090999744</v>
      </c>
      <c r="M57" s="521">
        <f>QDA!M57*M$45*$R57/1000</f>
        <v>0.84673825575120154</v>
      </c>
      <c r="N57" s="521">
        <f>QDA!N57*N$45*$R57/1000</f>
        <v>966.12816256184806</v>
      </c>
      <c r="O57" s="10">
        <f>SUM(C57:N57)+SUM(C57:N57)*IF('Painel de Controle'!$D$45="Aditivo3",-'Levantamento eixo suspenso ADT3'!$I$16,-'Eixo Suspenso Pleito 6'!$D$20)</f>
        <v>33568.171340751673</v>
      </c>
      <c r="P57" s="530"/>
      <c r="R57" s="315">
        <f>QD0!P18</f>
        <v>4.9375608950411713</v>
      </c>
      <c r="T57" s="91"/>
      <c r="U57" s="91"/>
      <c r="V57" s="91"/>
      <c r="W57" s="91"/>
      <c r="X57" s="91"/>
      <c r="Y57" s="91"/>
    </row>
    <row r="58" spans="1:25">
      <c r="A58" s="126">
        <v>2024</v>
      </c>
      <c r="B58" s="497">
        <v>13</v>
      </c>
      <c r="C58" s="521">
        <f>QDA!C58*C$45*$R58/1000</f>
        <v>12075.629067294023</v>
      </c>
      <c r="D58" s="521">
        <f>QDA!D58*D$45*$R58/1000</f>
        <v>8262.6431592252229</v>
      </c>
      <c r="E58" s="521">
        <f>QDA!E58*E$45*$R58/1000</f>
        <v>5609.7090173061024</v>
      </c>
      <c r="F58" s="521">
        <f>QDA!F58*F$45*$R58/1000</f>
        <v>320.73690117639251</v>
      </c>
      <c r="G58" s="521">
        <f>QDA!G58*G$45*$R58/1000</f>
        <v>7433.3126628205864</v>
      </c>
      <c r="H58" s="521">
        <f>QDA!H58*H$45*$R58/1000</f>
        <v>2317.454723893864</v>
      </c>
      <c r="I58" s="521">
        <f>QDA!I58*I$45*$R58/1000</f>
        <v>1260.2971653197367</v>
      </c>
      <c r="J58" s="521">
        <f>QDA!J58*J$45*$R58/1000</f>
        <v>145.7778179274386</v>
      </c>
      <c r="K58" s="521">
        <f>QDA!K58*K$45*$R58/1000</f>
        <v>0</v>
      </c>
      <c r="L58" s="521">
        <f>QDA!L58*L$45*$R58/1000</f>
        <v>25.811840833538991</v>
      </c>
      <c r="M58" s="521">
        <f>QDA!M58*M$45*$R58/1000</f>
        <v>0.89407373687554692</v>
      </c>
      <c r="N58" s="521">
        <f>QDA!N58*N$45*$R58/1000</f>
        <v>1020.1379360568136</v>
      </c>
      <c r="O58" s="10">
        <f>SUM(C58:N58)+SUM(C58:N58)*IF('Painel de Controle'!$D$45="Aditivo3",-'Levantamento eixo suspenso ADT3'!$I$16,-'Eixo Suspenso Pleito 6'!$D$20)</f>
        <v>35384.559867843222</v>
      </c>
      <c r="P58" s="530"/>
      <c r="R58" s="315">
        <f>QD0!P19</f>
        <v>4.9399691367167016</v>
      </c>
      <c r="T58" s="91"/>
      <c r="U58" s="91"/>
      <c r="V58" s="91"/>
      <c r="W58" s="91"/>
      <c r="X58" s="91"/>
      <c r="Y58" s="91"/>
    </row>
    <row r="59" spans="1:25">
      <c r="A59" s="126">
        <v>2025</v>
      </c>
      <c r="B59" s="497">
        <v>14</v>
      </c>
      <c r="C59" s="521">
        <f>QDA!C59*C$45*$R59/1000</f>
        <v>12720.578411035285</v>
      </c>
      <c r="D59" s="521">
        <f>QDA!D59*D$45*$R59/1000</f>
        <v>8702.8274633418223</v>
      </c>
      <c r="E59" s="521">
        <f>QDA!E59*E$45*$R59/1000</f>
        <v>5895.3414070171284</v>
      </c>
      <c r="F59" s="521">
        <f>QDA!F59*F$45*$R59/1000</f>
        <v>337.17101317089714</v>
      </c>
      <c r="G59" s="521">
        <f>QDA!G59*G$45*$R59/1000</f>
        <v>7814.1088252051504</v>
      </c>
      <c r="H59" s="521">
        <f>QDA!H59*H$45*$R59/1000</f>
        <v>2436.1791328127133</v>
      </c>
      <c r="I59" s="521">
        <f>QDA!I59*I$45*$R59/1000</f>
        <v>1324.8606056502615</v>
      </c>
      <c r="J59" s="521">
        <f>QDA!J59*J$45*$R59/1000</f>
        <v>153.25291465474876</v>
      </c>
      <c r="K59" s="521">
        <f>QDA!K59*K$45*$R59/1000</f>
        <v>0</v>
      </c>
      <c r="L59" s="521">
        <f>QDA!L59*L$45*$R59/1000</f>
        <v>27.190429867168124</v>
      </c>
      <c r="M59" s="521">
        <f>QDA!M59*M$45*$R59/1000</f>
        <v>0.94182547441574227</v>
      </c>
      <c r="N59" s="521">
        <f>QDA!N59*N$45*$R59/1000</f>
        <v>1074.6226580302123</v>
      </c>
      <c r="O59" s="10">
        <f>SUM(C59:N59)+SUM(C59:N59)*IF('Painel de Controle'!$D$45="Aditivo3",-'Levantamento eixo suspenso ADT3'!$I$16,-'Eixo Suspenso Pleito 6'!$D$20)</f>
        <v>37237.530165676893</v>
      </c>
      <c r="P59" s="530"/>
      <c r="R59" s="315">
        <f>QD0!P20</f>
        <v>4.9404507850518078</v>
      </c>
      <c r="T59" s="91"/>
      <c r="U59" s="91"/>
      <c r="V59" s="91"/>
      <c r="W59" s="91"/>
      <c r="X59" s="91"/>
      <c r="Y59" s="91"/>
    </row>
    <row r="60" spans="1:25">
      <c r="A60" s="126">
        <v>2026</v>
      </c>
      <c r="B60" s="497">
        <v>15</v>
      </c>
      <c r="C60" s="521">
        <f>QDA!C60*C$45*$R60/1000</f>
        <v>12863.545571456247</v>
      </c>
      <c r="D60" s="521">
        <f>QDA!D60*D$45*$R60/1000</f>
        <v>8801.1051691754128</v>
      </c>
      <c r="E60" s="521">
        <f>QDA!E60*E$45*$R60/1000</f>
        <v>5955.3109741477274</v>
      </c>
      <c r="F60" s="521">
        <f>QDA!F60*F$45*$R60/1000</f>
        <v>340.69258662990819</v>
      </c>
      <c r="G60" s="521">
        <f>QDA!G60*G$45*$R60/1000</f>
        <v>7895.7972250267348</v>
      </c>
      <c r="H60" s="521">
        <f>QDA!H60*H$45*$R60/1000</f>
        <v>2461.6514706161793</v>
      </c>
      <c r="I60" s="521">
        <f>QDA!I60*I$45*$R60/1000</f>
        <v>1338.7111264633095</v>
      </c>
      <c r="J60" s="521">
        <f>QDA!J60*J$45*$R60/1000</f>
        <v>154.86149664272864</v>
      </c>
      <c r="K60" s="521">
        <f>QDA!K60*K$45*$R60/1000</f>
        <v>0</v>
      </c>
      <c r="L60" s="521">
        <f>QDA!L60*L$45*$R60/1000</f>
        <v>27.496024347475874</v>
      </c>
      <c r="M60" s="521">
        <f>QDA!M60*M$45*$R60/1000</f>
        <v>0.95241069384039789</v>
      </c>
      <c r="N60" s="521">
        <f>QDA!N60*N$45*$R60/1000</f>
        <v>1086.7003910528965</v>
      </c>
      <c r="O60" s="10">
        <f>SUM(C60:N60)+SUM(C60:N60)*IF('Painel de Controle'!$D$45="Aditivo3",-'Levantamento eixo suspenso ADT3'!$I$16,-'Eixo Suspenso Pleito 6'!$D$20)</f>
        <v>37641.985046153437</v>
      </c>
      <c r="P60" s="530"/>
      <c r="R60" s="315">
        <f>QD0!P21</f>
        <v>4.7525160660998287</v>
      </c>
      <c r="T60" s="91"/>
      <c r="U60" s="91"/>
      <c r="V60" s="91"/>
      <c r="W60" s="91"/>
      <c r="X60" s="91"/>
      <c r="Y60" s="91"/>
    </row>
    <row r="61" spans="1:25">
      <c r="A61" s="126">
        <v>2027</v>
      </c>
      <c r="B61" s="497">
        <v>16</v>
      </c>
      <c r="C61" s="521">
        <f>QDA!C61*C$45*$R61/1000</f>
        <v>13495.874213232184</v>
      </c>
      <c r="D61" s="521">
        <f>QDA!D61*D$45*$R61/1000</f>
        <v>9235.6759528177517</v>
      </c>
      <c r="E61" s="521">
        <f>QDA!E61*E$45*$R61/1000</f>
        <v>6248.5919571558888</v>
      </c>
      <c r="F61" s="521">
        <f>QDA!F61*F$45*$R61/1000</f>
        <v>357.55531588601252</v>
      </c>
      <c r="G61" s="521">
        <f>QDA!G61*G$45*$R61/1000</f>
        <v>8286.818590768904</v>
      </c>
      <c r="H61" s="521">
        <f>QDA!H61*H$45*$R61/1000</f>
        <v>2583.5634937619561</v>
      </c>
      <c r="I61" s="521">
        <f>QDA!I61*I$45*$R61/1000</f>
        <v>1405.0081944846731</v>
      </c>
      <c r="J61" s="521">
        <f>QDA!J61*J$45*$R61/1000</f>
        <v>162.53676256851838</v>
      </c>
      <c r="K61" s="521">
        <f>QDA!K61*K$45*$R61/1000</f>
        <v>0</v>
      </c>
      <c r="L61" s="521">
        <f>QDA!L61*L$45*$R61/1000</f>
        <v>28.84763643865994</v>
      </c>
      <c r="M61" s="521">
        <f>QDA!M61*M$45*$R61/1000</f>
        <v>0.99922800070992246</v>
      </c>
      <c r="N61" s="521">
        <f>QDA!N61*N$45*$R61/1000</f>
        <v>1140.1189278377021</v>
      </c>
      <c r="O61" s="10">
        <f>SUM(C61:N61)+SUM(C61:N61)*IF('Painel de Controle'!$D$45="Aditivo3",-'Levantamento eixo suspenso ADT3'!$I$16,-'Eixo Suspenso Pleito 6'!$D$20)</f>
        <v>39498.722139453712</v>
      </c>
      <c r="P61" s="530"/>
      <c r="R61" s="315">
        <f>QD0!P22</f>
        <v>4.7525160660998287</v>
      </c>
      <c r="T61" s="91"/>
      <c r="U61" s="91"/>
      <c r="V61" s="91"/>
      <c r="W61" s="91"/>
      <c r="X61" s="91"/>
      <c r="Y61" s="91"/>
    </row>
    <row r="62" spans="1:25">
      <c r="A62" s="126">
        <v>2028</v>
      </c>
      <c r="B62" s="497">
        <v>17</v>
      </c>
      <c r="C62" s="521">
        <f>QDA!C62*C$45*$R62/1000</f>
        <v>14132.352527451809</v>
      </c>
      <c r="D62" s="521">
        <f>QDA!D62*D$45*$R62/1000</f>
        <v>9674.5921071501762</v>
      </c>
      <c r="E62" s="521">
        <f>QDA!E62*E$45*$R62/1000</f>
        <v>6550.3613209451587</v>
      </c>
      <c r="F62" s="521">
        <f>QDA!F62*F$45*$R62/1000</f>
        <v>374.90095464819899</v>
      </c>
      <c r="G62" s="521">
        <f>QDA!G62*G$45*$R62/1000</f>
        <v>8689.1776949858504</v>
      </c>
      <c r="H62" s="521">
        <f>QDA!H62*H$45*$R62/1000</f>
        <v>2709.0102067090015</v>
      </c>
      <c r="I62" s="521">
        <f>QDA!I62*I$45*$R62/1000</f>
        <v>1473.2275406785432</v>
      </c>
      <c r="J62" s="521">
        <f>QDA!J62*J$45*$R62/1000</f>
        <v>170.43433206484445</v>
      </c>
      <c r="K62" s="521">
        <f>QDA!K62*K$45*$R62/1000</f>
        <v>0</v>
      </c>
      <c r="L62" s="521">
        <f>QDA!L62*L$45*$R62/1000</f>
        <v>30.208118517819862</v>
      </c>
      <c r="M62" s="521">
        <f>QDA!M62*M$45*$R62/1000</f>
        <v>1.0463525473205697</v>
      </c>
      <c r="N62" s="521">
        <f>QDA!N62*N$45*$R62/1000</f>
        <v>1193.8880250991856</v>
      </c>
      <c r="O62" s="10">
        <f>SUM(C62:N62)+SUM(C62:N62)*IF('Painel de Controle'!$D$45="Aditivo3",-'Levantamento eixo suspenso ADT3'!$I$16,-'Eixo Suspenso Pleito 6'!$D$20)</f>
        <v>41387.505763535388</v>
      </c>
      <c r="P62" s="530"/>
      <c r="R62" s="315">
        <f>QD0!P23</f>
        <v>4.7525160660998287</v>
      </c>
      <c r="T62" s="91"/>
      <c r="U62" s="91"/>
      <c r="V62" s="91"/>
      <c r="W62" s="91"/>
      <c r="X62" s="91"/>
      <c r="Y62" s="91"/>
    </row>
    <row r="63" spans="1:25">
      <c r="A63" s="126">
        <v>2029</v>
      </c>
      <c r="B63" s="497">
        <v>18</v>
      </c>
      <c r="C63" s="521">
        <f>QDA!C63*C$45*$R63/1000</f>
        <v>14772.659495789741</v>
      </c>
      <c r="D63" s="521">
        <f>QDA!D63*D$45*$R63/1000</f>
        <v>10117.657984307194</v>
      </c>
      <c r="E63" s="521">
        <f>QDA!E63*E$45*$R63/1000</f>
        <v>6860.5645892347684</v>
      </c>
      <c r="F63" s="521">
        <f>QDA!F63*F$45*$R63/1000</f>
        <v>392.72645993779912</v>
      </c>
      <c r="G63" s="521">
        <f>QDA!G63*G$45*$R63/1000</f>
        <v>9102.8063756624833</v>
      </c>
      <c r="H63" s="521">
        <f>QDA!H63*H$45*$R63/1000</f>
        <v>2837.9703638475985</v>
      </c>
      <c r="I63" s="521">
        <f>QDA!I63*I$45*$R63/1000</f>
        <v>1543.3576088851826</v>
      </c>
      <c r="J63" s="521">
        <f>QDA!J63*J$45*$R63/1000</f>
        <v>178.55287539569082</v>
      </c>
      <c r="K63" s="521">
        <f>QDA!K63*K$45*$R63/1000</f>
        <v>0</v>
      </c>
      <c r="L63" s="521">
        <f>QDA!L63*L$45*$R63/1000</f>
        <v>31.576784403401607</v>
      </c>
      <c r="M63" s="521">
        <f>QDA!M63*M$45*$R63/1000</f>
        <v>1.0937605656307605</v>
      </c>
      <c r="N63" s="521">
        <f>QDA!N63*N$45*$R63/1000</f>
        <v>1247.98056350716</v>
      </c>
      <c r="O63" s="10">
        <f>SUM(C63:N63)+SUM(C63:N63)*IF('Painel de Controle'!$D$45="Aditivo3",-'Levantamento eixo suspenso ADT3'!$I$16,-'Eixo Suspenso Pleito 6'!$D$20)</f>
        <v>43307.688138830941</v>
      </c>
      <c r="P63" s="530"/>
      <c r="R63" s="315">
        <f>QD0!P24</f>
        <v>4.7525160660998287</v>
      </c>
      <c r="T63" s="91"/>
      <c r="U63" s="91"/>
      <c r="V63" s="91"/>
      <c r="W63" s="91"/>
      <c r="X63" s="91"/>
      <c r="Y63" s="91"/>
    </row>
    <row r="64" spans="1:25">
      <c r="A64" s="126">
        <v>2030</v>
      </c>
      <c r="B64" s="497">
        <v>19</v>
      </c>
      <c r="C64" s="521">
        <f>QDA!C64*C$45*$R64/1000</f>
        <v>15416.666664359889</v>
      </c>
      <c r="D64" s="521">
        <f>QDA!D64*D$45*$R64/1000</f>
        <v>10564.81632047136</v>
      </c>
      <c r="E64" s="521">
        <f>QDA!E64*E$45*$R64/1000</f>
        <v>7179.2639372172462</v>
      </c>
      <c r="F64" s="521">
        <f>QDA!F64*F$45*$R64/1000</f>
        <v>411.03546614999902</v>
      </c>
      <c r="G64" s="521">
        <f>QDA!G64*G$45*$R64/1000</f>
        <v>9527.7918715351971</v>
      </c>
      <c r="H64" s="521">
        <f>QDA!H64*H$45*$R64/1000</f>
        <v>2970.4711690286426</v>
      </c>
      <c r="I64" s="521">
        <f>QDA!I64*I$45*$R64/1000</f>
        <v>1615.413190783913</v>
      </c>
      <c r="J64" s="521">
        <f>QDA!J64*J$45*$R64/1000</f>
        <v>186.89411154778003</v>
      </c>
      <c r="K64" s="521">
        <f>QDA!K64*K$45*$R64/1000</f>
        <v>0</v>
      </c>
      <c r="L64" s="521">
        <f>QDA!L64*L$45*$R64/1000</f>
        <v>32.953359523269519</v>
      </c>
      <c r="M64" s="521">
        <f>QDA!M64*M$45*$R64/1000</f>
        <v>1.1414425449768832</v>
      </c>
      <c r="N64" s="521">
        <f>QDA!N64*N$45*$R64/1000</f>
        <v>1302.3856913965481</v>
      </c>
      <c r="O64" s="10">
        <f>SUM(C64:N64)+SUM(C64:N64)*IF('Painel de Controle'!$D$45="Aditivo3",-'Levantamento eixo suspenso ADT3'!$I$16,-'Eixo Suspenso Pleito 6'!$D$20)</f>
        <v>45259.269182002536</v>
      </c>
      <c r="P64" s="530"/>
      <c r="R64" s="315">
        <f>QD0!P25</f>
        <v>4.7525160660998287</v>
      </c>
      <c r="T64" s="91"/>
      <c r="U64" s="91"/>
      <c r="V64" s="91"/>
      <c r="W64" s="91"/>
      <c r="X64" s="91"/>
      <c r="Y64" s="91"/>
    </row>
    <row r="65" spans="1:25">
      <c r="A65" s="126">
        <v>2031</v>
      </c>
      <c r="B65" s="497">
        <v>20</v>
      </c>
      <c r="C65" s="521">
        <f>QDA!C65*C$45*$R65/1000</f>
        <v>16063.775045381668</v>
      </c>
      <c r="D65" s="521">
        <f>QDA!D65*D$45*$R65/1000</f>
        <v>11017.196732346072</v>
      </c>
      <c r="E65" s="521">
        <f>QDA!E65*E$45*$R65/1000</f>
        <v>7513.7199272749758</v>
      </c>
      <c r="F65" s="521">
        <f>QDA!F65*F$45*$R65/1000</f>
        <v>430.23138545345699</v>
      </c>
      <c r="G65" s="521">
        <f>QDA!G65*G$45*$R65/1000</f>
        <v>9973.6298522333582</v>
      </c>
      <c r="H65" s="521">
        <f>QDA!H65*H$45*$R65/1000</f>
        <v>3109.472554663625</v>
      </c>
      <c r="I65" s="521">
        <f>QDA!I65*I$45*$R65/1000</f>
        <v>1691.0041990323743</v>
      </c>
      <c r="J65" s="521">
        <f>QDA!J65*J$45*$R65/1000</f>
        <v>195.64356816690946</v>
      </c>
      <c r="K65" s="521">
        <f>QDA!K65*K$45*$R65/1000</f>
        <v>0</v>
      </c>
      <c r="L65" s="521">
        <f>QDA!L65*L$45*$R65/1000</f>
        <v>34.336563531930423</v>
      </c>
      <c r="M65" s="521">
        <f>QDA!M65*M$45*$R65/1000</f>
        <v>1.1893541365933087</v>
      </c>
      <c r="N65" s="521">
        <f>QDA!N65*N$45*$R65/1000</f>
        <v>1357.0528068355738</v>
      </c>
      <c r="O65" s="10">
        <f>SUM(C65:N65)+SUM(C65:N65)*IF('Painel de Controle'!$D$45="Aditivo3",-'Levantamento eixo suspenso ADT3'!$I$16,-'Eixo Suspenso Pleito 6'!$D$20)</f>
        <v>47262.845263630123</v>
      </c>
      <c r="P65" s="530"/>
      <c r="R65" s="315">
        <f>QD0!P26</f>
        <v>4.7525160660998287</v>
      </c>
      <c r="T65" s="91"/>
      <c r="U65" s="91"/>
      <c r="V65" s="91"/>
      <c r="W65" s="91"/>
      <c r="X65" s="91"/>
      <c r="Y65" s="91"/>
    </row>
    <row r="66" spans="1:25">
      <c r="A66" s="126">
        <v>2032</v>
      </c>
      <c r="B66" s="497">
        <v>21</v>
      </c>
      <c r="C66" s="521">
        <f>QDA!C66*C$45*$R66/1000</f>
        <v>16712.794926026374</v>
      </c>
      <c r="D66" s="521">
        <f>QDA!D66*D$45*$R66/1000</f>
        <v>11475.501309918072</v>
      </c>
      <c r="E66" s="521">
        <f>QDA!E66*E$45*$R66/1000</f>
        <v>7870.8160514029414</v>
      </c>
      <c r="F66" s="521">
        <f>QDA!F66*F$45*$R66/1000</f>
        <v>450.6961196954752</v>
      </c>
      <c r="G66" s="521">
        <f>QDA!G66*G$45*$R66/1000</f>
        <v>10449.31521258656</v>
      </c>
      <c r="H66" s="521">
        <f>QDA!H66*H$45*$R66/1000</f>
        <v>3257.7783296403582</v>
      </c>
      <c r="I66" s="521">
        <f>QDA!I66*I$45*$R66/1000</f>
        <v>1771.6556414463601</v>
      </c>
      <c r="J66" s="521">
        <f>QDA!J66*J$45*$R66/1000</f>
        <v>204.97695349857921</v>
      </c>
      <c r="K66" s="521">
        <f>QDA!K66*K$45*$R66/1000</f>
        <v>0</v>
      </c>
      <c r="L66" s="521">
        <f>QDA!L66*L$45*$R66/1000</f>
        <v>35.723853400114294</v>
      </c>
      <c r="M66" s="521">
        <f>QDA!M66*M$45*$R66/1000</f>
        <v>1.2374072547174946</v>
      </c>
      <c r="N66" s="521">
        <f>QDA!N66*N$45*$R66/1000</f>
        <v>1411.8814039886574</v>
      </c>
      <c r="O66" s="10">
        <f>SUM(C66:N66)+SUM(C66:N66)*IF('Painel de Controle'!$D$45="Aditivo3",-'Levantamento eixo suspenso ADT3'!$I$16,-'Eixo Suspenso Pleito 6'!$D$20)</f>
        <v>49336.971242117834</v>
      </c>
      <c r="P66" s="530"/>
      <c r="R66" s="315">
        <f>QD0!P27</f>
        <v>4.7525160660998287</v>
      </c>
      <c r="T66" s="91"/>
      <c r="U66" s="91"/>
      <c r="V66" s="91"/>
      <c r="W66" s="91"/>
      <c r="X66" s="91"/>
      <c r="Y66" s="91"/>
    </row>
    <row r="67" spans="1:25">
      <c r="A67" s="126">
        <v>2033</v>
      </c>
      <c r="B67" s="497">
        <v>22</v>
      </c>
      <c r="C67" s="521">
        <f>QDA!C67*C$45*$R67/1000</f>
        <v>17362.377876337167</v>
      </c>
      <c r="D67" s="521">
        <f>QDA!D67*D$45*$R67/1000</f>
        <v>11935.577277950175</v>
      </c>
      <c r="E67" s="521">
        <f>QDA!E67*E$45*$R67/1000</f>
        <v>8234.0577099515976</v>
      </c>
      <c r="F67" s="521">
        <f>QDA!F67*F$45*$R67/1000</f>
        <v>471.51171803604717</v>
      </c>
      <c r="G67" s="521">
        <f>QDA!G67*G$45*$R67/1000</f>
        <v>10933.266982964555</v>
      </c>
      <c r="H67" s="521">
        <f>QDA!H67*H$45*$R67/1000</f>
        <v>3408.6613467337961</v>
      </c>
      <c r="I67" s="521">
        <f>QDA!I67*I$45*$R67/1000</f>
        <v>1853.7086361208358</v>
      </c>
      <c r="J67" s="521">
        <f>QDA!J67*J$45*$R67/1000</f>
        <v>214.4725334162116</v>
      </c>
      <c r="K67" s="521">
        <f>QDA!K67*K$45*$R67/1000</f>
        <v>0</v>
      </c>
      <c r="L67" s="521">
        <f>QDA!L67*L$45*$R67/1000</f>
        <v>37.112346838275201</v>
      </c>
      <c r="M67" s="521">
        <f>QDA!M67*M$45*$R67/1000</f>
        <v>1.2855020622474811</v>
      </c>
      <c r="N67" s="521">
        <f>QDA!N67*N$45*$R67/1000</f>
        <v>1466.7575687445403</v>
      </c>
      <c r="O67" s="10">
        <f>SUM(C67:N67)+SUM(C67:N67)*IF('Painel de Controle'!$D$45="Aditivo3",-'Levantamento eixo suspenso ADT3'!$I$16,-'Eixo Suspenso Pleito 6'!$D$20)</f>
        <v>51430.675763532141</v>
      </c>
      <c r="P67" s="530"/>
      <c r="R67" s="315">
        <f>QD0!P28</f>
        <v>4.7525160660998287</v>
      </c>
      <c r="T67" s="91"/>
      <c r="U67" s="91"/>
      <c r="V67" s="91"/>
      <c r="W67" s="91"/>
      <c r="X67" s="91"/>
      <c r="Y67" s="91"/>
    </row>
    <row r="68" spans="1:25">
      <c r="A68" s="126">
        <v>2034</v>
      </c>
      <c r="B68" s="497">
        <v>23</v>
      </c>
      <c r="C68" s="521">
        <f>QDA!C68*C$45*$R68/1000</f>
        <v>18011.308281288901</v>
      </c>
      <c r="D68" s="521">
        <f>QDA!D68*D$45*$R68/1000</f>
        <v>12396.614112320696</v>
      </c>
      <c r="E68" s="521">
        <f>QDA!E68*E$45*$R68/1000</f>
        <v>8602.9794565305183</v>
      </c>
      <c r="F68" s="521">
        <f>QDA!F68*F$45*$R68/1000</f>
        <v>492.65146000791549</v>
      </c>
      <c r="G68" s="521">
        <f>QDA!G68*G$45*$R68/1000</f>
        <v>11424.867933081261</v>
      </c>
      <c r="H68" s="521">
        <f>QDA!H68*H$45*$R68/1000</f>
        <v>3561.9291703057083</v>
      </c>
      <c r="I68" s="521">
        <f>QDA!I68*I$45*$R68/1000</f>
        <v>1937.0585329718945</v>
      </c>
      <c r="J68" s="521">
        <f>QDA!J68*J$45*$R68/1000</f>
        <v>224.11819729253378</v>
      </c>
      <c r="K68" s="521">
        <f>QDA!K68*K$45*$R68/1000</f>
        <v>0</v>
      </c>
      <c r="L68" s="521">
        <f>QDA!L68*L$45*$R68/1000</f>
        <v>38.499445450804181</v>
      </c>
      <c r="M68" s="521">
        <f>QDA!M68*M$45*$R68/1000</f>
        <v>1.3335485556346256</v>
      </c>
      <c r="N68" s="521">
        <f>QDA!N68*N$45*$R68/1000</f>
        <v>1521.5786070741246</v>
      </c>
      <c r="O68" s="10">
        <f>SUM(C68:N68)+SUM(C68:N68)*IF('Painel de Controle'!$D$45="Aditivo3",-'Levantamento eixo suspenso ADT3'!$I$16,-'Eixo Suspenso Pleito 6'!$D$20)</f>
        <v>53540.693649591587</v>
      </c>
      <c r="P68" s="530"/>
      <c r="R68" s="315">
        <f>QD0!P29</f>
        <v>4.7525160660998287</v>
      </c>
      <c r="T68" s="91"/>
      <c r="U68" s="91"/>
      <c r="V68" s="91"/>
      <c r="W68" s="91"/>
      <c r="X68" s="91"/>
      <c r="Y68" s="91"/>
    </row>
    <row r="69" spans="1:25">
      <c r="A69" s="126">
        <v>2035</v>
      </c>
      <c r="B69" s="497">
        <v>24</v>
      </c>
      <c r="C69" s="521">
        <f>QDA!C69*C$45*$R69/1000</f>
        <v>18658.204406271663</v>
      </c>
      <c r="D69" s="521">
        <f>QDA!D69*D$45*$R69/1000</f>
        <v>12857.680119911962</v>
      </c>
      <c r="E69" s="521">
        <f>QDA!E69*E$45*$R69/1000</f>
        <v>8977.0080309464865</v>
      </c>
      <c r="F69" s="521">
        <f>QDA!F69*F$45*$R69/1000</f>
        <v>514.08245020645484</v>
      </c>
      <c r="G69" s="521">
        <f>QDA!G69*G$45*$R69/1000</f>
        <v>11923.356989641456</v>
      </c>
      <c r="H69" s="521">
        <f>QDA!H69*H$45*$R69/1000</f>
        <v>3717.3445183746239</v>
      </c>
      <c r="I69" s="521">
        <f>QDA!I69*I$45*$R69/1000</f>
        <v>2021.5762936389772</v>
      </c>
      <c r="J69" s="521">
        <f>QDA!J69*J$45*$R69/1000</f>
        <v>233.89901216781655</v>
      </c>
      <c r="K69" s="521">
        <f>QDA!K69*K$45*$R69/1000</f>
        <v>0</v>
      </c>
      <c r="L69" s="521">
        <f>QDA!L69*L$45*$R69/1000</f>
        <v>39.882195758952719</v>
      </c>
      <c r="M69" s="521">
        <f>QDA!M69*M$45*$R69/1000</f>
        <v>1.3814444319165604</v>
      </c>
      <c r="N69" s="521">
        <f>QDA!N69*N$45*$R69/1000</f>
        <v>1576.2277913199721</v>
      </c>
      <c r="O69" s="10">
        <f>SUM(C69:N69)+SUM(C69:N69)*IF('Painel de Controle'!$D$45="Aditivo3",-'Levantamento eixo suspenso ADT3'!$I$16,-'Eixo Suspenso Pleito 6'!$D$20)</f>
        <v>55663.17883500491</v>
      </c>
      <c r="P69" s="530"/>
      <c r="R69" s="315">
        <f>QD0!P30</f>
        <v>4.7525160660998287</v>
      </c>
      <c r="T69" s="91"/>
      <c r="U69" s="91"/>
      <c r="V69" s="91"/>
      <c r="W69" s="91"/>
      <c r="X69" s="91"/>
      <c r="Y69" s="91"/>
    </row>
    <row r="70" spans="1:25">
      <c r="A70" s="126">
        <v>2036</v>
      </c>
      <c r="B70" s="497">
        <v>25</v>
      </c>
      <c r="C70" s="521">
        <f>QDA!C70*C$45*$R70/1000</f>
        <v>19301.588170400715</v>
      </c>
      <c r="D70" s="521">
        <f>QDA!D70*D$45*$R70/1000</f>
        <v>13317.770520469345</v>
      </c>
      <c r="E70" s="521">
        <f>QDA!E70*E$45*$R70/1000</f>
        <v>9355.4957004839962</v>
      </c>
      <c r="F70" s="521">
        <f>QDA!F70*F$45*$R70/1000</f>
        <v>535.76753018653005</v>
      </c>
      <c r="G70" s="521">
        <f>QDA!G70*G$45*$R70/1000</f>
        <v>12427.87358084179</v>
      </c>
      <c r="H70" s="521">
        <f>QDA!H70*H$45*$R70/1000</f>
        <v>3874.6390880267727</v>
      </c>
      <c r="I70" s="521">
        <f>QDA!I70*I$45*$R70/1000</f>
        <v>2107.1160100008206</v>
      </c>
      <c r="J70" s="521">
        <f>QDA!J70*J$45*$R70/1000</f>
        <v>243.79809282986758</v>
      </c>
      <c r="K70" s="521">
        <f>QDA!K70*K$45*$R70/1000</f>
        <v>0</v>
      </c>
      <c r="L70" s="521">
        <f>QDA!L70*L$45*$R70/1000</f>
        <v>41.257438342344159</v>
      </c>
      <c r="M70" s="521">
        <f>QDA!M70*M$45*$R70/1000</f>
        <v>1.4290802546993169</v>
      </c>
      <c r="N70" s="521">
        <f>QDA!N70*N$45*$R70/1000</f>
        <v>1630.5802545807667</v>
      </c>
      <c r="O70" s="10">
        <f>SUM(C70:N70)+SUM(C70:N70)*IF('Painel de Controle'!$D$45="Aditivo3",-'Levantamento eixo suspenso ADT3'!$I$16,-'Eixo Suspenso Pleito 6'!$D$20)</f>
        <v>57793.911966798201</v>
      </c>
      <c r="P70" s="530"/>
      <c r="R70" s="315">
        <f>QD0!P31</f>
        <v>4.7525160660998287</v>
      </c>
      <c r="T70" s="91"/>
      <c r="U70" s="91"/>
      <c r="V70" s="91"/>
      <c r="W70" s="91"/>
      <c r="X70" s="91"/>
      <c r="Y70" s="91"/>
    </row>
    <row r="71" spans="1:25">
      <c r="A71" s="126">
        <v>2037</v>
      </c>
      <c r="B71" s="497">
        <v>26</v>
      </c>
      <c r="C71" s="521">
        <f>QDA!C71*C$45*$R71/1000</f>
        <v>19939.79527188994</v>
      </c>
      <c r="D71" s="521">
        <f>QDA!D71*D$45*$R71/1000</f>
        <v>13775.741734339121</v>
      </c>
      <c r="E71" s="521">
        <f>QDA!E71*E$45*$R71/1000</f>
        <v>9737.6612632969172</v>
      </c>
      <c r="F71" s="521">
        <f>QDA!F71*F$45*$R71/1000</f>
        <v>557.66189961419809</v>
      </c>
      <c r="G71" s="521">
        <f>QDA!G71*G$45*$R71/1000</f>
        <v>12937.378916533717</v>
      </c>
      <c r="H71" s="521">
        <f>QDA!H71*H$45*$R71/1000</f>
        <v>4033.489012709058</v>
      </c>
      <c r="I71" s="521">
        <f>QDA!I71*I$45*$R71/1000</f>
        <v>2193.5015573942997</v>
      </c>
      <c r="J71" s="521">
        <f>QDA!J71*J$45*$R71/1000</f>
        <v>253.79505725825271</v>
      </c>
      <c r="K71" s="521">
        <f>QDA!K71*K$45*$R71/1000</f>
        <v>0</v>
      </c>
      <c r="L71" s="521">
        <f>QDA!L71*L$45*$R71/1000</f>
        <v>42.621615730592268</v>
      </c>
      <c r="M71" s="521">
        <f>QDA!M71*M$45*$R71/1000</f>
        <v>1.4763327998834368</v>
      </c>
      <c r="N71" s="521">
        <f>QDA!N71*N$45*$R71/1000</f>
        <v>1684.4953981862755</v>
      </c>
      <c r="O71" s="10">
        <f>SUM(C71:N71)+SUM(C71:N71)*IF('Painel de Controle'!$D$45="Aditivo3",-'Levantamento eixo suspenso ADT3'!$I$16,-'Eixo Suspenso Pleito 6'!$D$20)</f>
        <v>59927.984099258741</v>
      </c>
      <c r="P71" s="530"/>
      <c r="R71" s="315">
        <f>QD0!P32</f>
        <v>4.7525160660998287</v>
      </c>
      <c r="T71" s="91"/>
      <c r="U71" s="91"/>
      <c r="V71" s="91"/>
      <c r="W71" s="91"/>
      <c r="X71" s="91"/>
      <c r="Y71" s="91"/>
    </row>
    <row r="72" spans="1:25">
      <c r="A72" s="126">
        <v>2038</v>
      </c>
      <c r="B72" s="497">
        <v>27</v>
      </c>
      <c r="C72" s="521">
        <f>QDA!C72*C$45*$R72/1000</f>
        <v>20570.942394142177</v>
      </c>
      <c r="D72" s="521">
        <f>QDA!D72*D$45*$R72/1000</f>
        <v>14230.285706837423</v>
      </c>
      <c r="E72" s="521">
        <f>QDA!E72*E$45*$R72/1000</f>
        <v>10122.561307548389</v>
      </c>
      <c r="F72" s="521">
        <f>QDA!F72*F$45*$R72/1000</f>
        <v>579.71147159965369</v>
      </c>
      <c r="G72" s="521">
        <f>QDA!G72*G$45*$R72/1000</f>
        <v>13450.617556097253</v>
      </c>
      <c r="H72" s="521">
        <f>QDA!H72*H$45*$R72/1000</f>
        <v>4193.5028801359576</v>
      </c>
      <c r="I72" s="521">
        <f>QDA!I72*I$45*$R72/1000</f>
        <v>2280.5200785290604</v>
      </c>
      <c r="J72" s="521">
        <f>QDA!J72*J$45*$R72/1000</f>
        <v>263.86527255054523</v>
      </c>
      <c r="K72" s="521">
        <f>QDA!K72*K$45*$R72/1000</f>
        <v>0</v>
      </c>
      <c r="L72" s="521">
        <f>QDA!L72*L$45*$R72/1000</f>
        <v>43.97070230582041</v>
      </c>
      <c r="M72" s="521">
        <f>QDA!M72*M$45*$R72/1000</f>
        <v>1.5230626276187598</v>
      </c>
      <c r="N72" s="521">
        <f>QDA!N72*N$45*$R72/1000</f>
        <v>1737.8141212983026</v>
      </c>
      <c r="O72" s="10">
        <f>SUM(C72:N72)+SUM(C72:N72)*IF('Painel de Controle'!$D$45="Aditivo3",-'Levantamento eixo suspenso ADT3'!$I$16,-'Eixo Suspenso Pleito 6'!$D$20)</f>
        <v>62059.659301184773</v>
      </c>
      <c r="P72" s="530"/>
      <c r="R72" s="315">
        <f>QD0!P33</f>
        <v>4.7525160660998287</v>
      </c>
      <c r="T72" s="91"/>
      <c r="U72" s="91"/>
      <c r="V72" s="91"/>
      <c r="W72" s="91"/>
      <c r="X72" s="91"/>
      <c r="Y72" s="91"/>
    </row>
    <row r="73" spans="1:25">
      <c r="A73" s="126">
        <v>2039</v>
      </c>
      <c r="B73" s="497">
        <v>28</v>
      </c>
      <c r="C73" s="521">
        <f>QDA!C73*C$45*$R73/1000</f>
        <v>21193.014395545852</v>
      </c>
      <c r="D73" s="521">
        <f>QDA!D73*D$45*$R73/1000</f>
        <v>14679.989598882248</v>
      </c>
      <c r="E73" s="521">
        <f>QDA!E73*E$45*$R73/1000</f>
        <v>10509.130204916437</v>
      </c>
      <c r="F73" s="521">
        <f>QDA!F73*F$45*$R73/1000</f>
        <v>601.85516649211047</v>
      </c>
      <c r="G73" s="521">
        <f>QDA!G73*G$45*$R73/1000</f>
        <v>13966.170574161451</v>
      </c>
      <c r="H73" s="521">
        <f>QDA!H73*H$45*$R73/1000</f>
        <v>4354.2383079171113</v>
      </c>
      <c r="I73" s="521">
        <f>QDA!I73*I$45*$R73/1000</f>
        <v>2367.9309976224868</v>
      </c>
      <c r="J73" s="521">
        <f>QDA!J73*J$45*$R73/1000</f>
        <v>273.98089808277848</v>
      </c>
      <c r="K73" s="521">
        <f>QDA!K73*K$45*$R73/1000</f>
        <v>0</v>
      </c>
      <c r="L73" s="521">
        <f>QDA!L73*L$45*$R73/1000</f>
        <v>45.300390672178189</v>
      </c>
      <c r="M73" s="521">
        <f>QDA!M73*M$45*$R73/1000</f>
        <v>1.5691205377948017</v>
      </c>
      <c r="N73" s="521">
        <f>QDA!N73*N$45*$R73/1000</f>
        <v>1790.3661866237808</v>
      </c>
      <c r="O73" s="10">
        <f>SUM(C73:N73)+SUM(C73:N73)*IF('Painel de Controle'!$D$45="Aditivo3",-'Levantamento eixo suspenso ADT3'!$I$16,-'Eixo Suspenso Pleito 6'!$D$20)</f>
        <v>64182.628986552358</v>
      </c>
      <c r="P73" s="530"/>
      <c r="R73" s="315">
        <f>QD0!P34</f>
        <v>4.7525160660998287</v>
      </c>
      <c r="T73" s="91"/>
      <c r="U73" s="91"/>
      <c r="V73" s="91"/>
      <c r="W73" s="91"/>
      <c r="X73" s="91"/>
      <c r="Y73" s="91"/>
    </row>
    <row r="74" spans="1:25">
      <c r="A74" s="126">
        <v>2040</v>
      </c>
      <c r="B74" s="497">
        <v>29</v>
      </c>
      <c r="C74" s="521">
        <f>QDA!C74*C$45*$R74/1000</f>
        <v>21803.725251308286</v>
      </c>
      <c r="D74" s="521">
        <f>QDA!D74*D$45*$R74/1000</f>
        <v>15123.232900335954</v>
      </c>
      <c r="E74" s="521">
        <f>QDA!E74*E$45*$R74/1000</f>
        <v>10896.083672959789</v>
      </c>
      <c r="F74" s="521">
        <f>QDA!F74*F$45*$R74/1000</f>
        <v>624.01938969647608</v>
      </c>
      <c r="G74" s="521">
        <f>QDA!G74*G$45*$R74/1000</f>
        <v>14482.326823560721</v>
      </c>
      <c r="H74" s="521">
        <f>QDA!H74*H$45*$R74/1000</f>
        <v>4515.1618068438047</v>
      </c>
      <c r="I74" s="521">
        <f>QDA!I74*I$45*$R74/1000</f>
        <v>2455.4441933074118</v>
      </c>
      <c r="J74" s="521">
        <f>QDA!J74*J$45*$R74/1000</f>
        <v>284.10835956995936</v>
      </c>
      <c r="K74" s="521">
        <f>QDA!K74*K$45*$R74/1000</f>
        <v>0</v>
      </c>
      <c r="L74" s="521">
        <f>QDA!L74*L$45*$R74/1000</f>
        <v>46.605794416894781</v>
      </c>
      <c r="M74" s="521">
        <f>QDA!M74*M$45*$R74/1000</f>
        <v>1.6143372742413389</v>
      </c>
      <c r="N74" s="521">
        <f>QDA!N74*N$45*$R74/1000</f>
        <v>1841.9584729099131</v>
      </c>
      <c r="O74" s="10">
        <f>SUM(C74:N74)+SUM(C74:N74)*IF('Painel de Controle'!$D$45="Aditivo3",-'Levantamento eixo suspenso ADT3'!$I$16,-'Eixo Suspenso Pleito 6'!$D$20)</f>
        <v>66289.506806455232</v>
      </c>
      <c r="P74" s="530"/>
      <c r="R74" s="315">
        <f>QD0!P35</f>
        <v>4.7525160660998287</v>
      </c>
      <c r="T74" s="91"/>
      <c r="U74" s="91"/>
      <c r="V74" s="91"/>
      <c r="W74" s="91"/>
      <c r="X74" s="91"/>
      <c r="Y74" s="91"/>
    </row>
    <row r="75" spans="1:25">
      <c r="A75" s="126">
        <v>2041</v>
      </c>
      <c r="B75" s="497">
        <v>30</v>
      </c>
      <c r="C75" s="521">
        <f>QDA!C75*C$45*$R75/1000</f>
        <v>22400.736406783319</v>
      </c>
      <c r="D75" s="521">
        <f>QDA!D75*D$45*$R75/1000</f>
        <v>15558.342108648121</v>
      </c>
      <c r="E75" s="521">
        <f>QDA!E75*E$45*$R75/1000</f>
        <v>11282.040990954671</v>
      </c>
      <c r="F75" s="521">
        <f>QDA!F75*F$45*$R75/1000</f>
        <v>646.12503523806038</v>
      </c>
      <c r="G75" s="521">
        <f>QDA!G75*G$45*$R75/1000</f>
        <v>14997.24576668826</v>
      </c>
      <c r="H75" s="521">
        <f>QDA!H75*H$45*$R75/1000</f>
        <v>4675.6995472822073</v>
      </c>
      <c r="I75" s="521">
        <f>QDA!I75*I$45*$R75/1000</f>
        <v>2542.7476063422073</v>
      </c>
      <c r="J75" s="521">
        <f>QDA!J75*J$45*$R75/1000</f>
        <v>294.21154396734551</v>
      </c>
      <c r="K75" s="521">
        <f>QDA!K75*K$45*$R75/1000</f>
        <v>0</v>
      </c>
      <c r="L75" s="521">
        <f>QDA!L75*L$45*$R75/1000</f>
        <v>47.881914843838487</v>
      </c>
      <c r="M75" s="521">
        <f>QDA!M75*M$45*$R75/1000</f>
        <v>1.6585396915031969</v>
      </c>
      <c r="N75" s="521">
        <f>QDA!N75*N$45*$R75/1000</f>
        <v>1892.3934212306369</v>
      </c>
      <c r="O75" s="10">
        <f>SUM(C75:N75)+SUM(C75:N75)*IF('Painel de Controle'!$D$45="Aditivo3",-'Levantamento eixo suspenso ADT3'!$I$16,-'Eixo Suspenso Pleito 6'!$D$20)</f>
        <v>68372.532783515737</v>
      </c>
      <c r="P75" s="530"/>
      <c r="R75" s="315">
        <f>QD0!P36</f>
        <v>4.7525160660998287</v>
      </c>
      <c r="T75" s="91"/>
      <c r="U75" s="91"/>
      <c r="V75" s="91"/>
      <c r="W75" s="91"/>
      <c r="X75" s="91"/>
      <c r="Y75" s="91"/>
    </row>
    <row r="76" spans="1:25">
      <c r="A76" s="126">
        <v>2042</v>
      </c>
      <c r="B76" s="497">
        <v>31</v>
      </c>
      <c r="C76" s="521">
        <f>QDA!C76*C$45*$R76/1000</f>
        <v>22981.709417591974</v>
      </c>
      <c r="D76" s="521">
        <f>QDA!D76*D$45*$R76/1000</f>
        <v>15983.626906592184</v>
      </c>
      <c r="E76" s="521">
        <f>QDA!E76*E$45*$R76/1000</f>
        <v>11665.549740397058</v>
      </c>
      <c r="F76" s="521">
        <f>QDA!F76*F$45*$R76/1000</f>
        <v>668.08890457145037</v>
      </c>
      <c r="G76" s="521">
        <f>QDA!G76*G$45*$R76/1000</f>
        <v>15508.990374279654</v>
      </c>
      <c r="H76" s="521">
        <f>QDA!H76*H$45*$R76/1000</f>
        <v>4835.2476161205095</v>
      </c>
      <c r="I76" s="521">
        <f>QDA!I76*I$45*$R76/1000</f>
        <v>2629.5128175296595</v>
      </c>
      <c r="J76" s="521">
        <f>QDA!J76*J$45*$R76/1000</f>
        <v>304.25244497491104</v>
      </c>
      <c r="K76" s="521">
        <f>QDA!K76*K$45*$R76/1000</f>
        <v>0</v>
      </c>
      <c r="L76" s="521">
        <f>QDA!L76*L$45*$R76/1000</f>
        <v>49.12375349257524</v>
      </c>
      <c r="M76" s="521">
        <f>QDA!M76*M$45*$R76/1000</f>
        <v>1.7015546522893297</v>
      </c>
      <c r="N76" s="521">
        <f>QDA!N76*N$45*$R76/1000</f>
        <v>1941.4734819751543</v>
      </c>
      <c r="O76" s="10">
        <f>SUM(C76:N76)+SUM(C76:N76)*IF('Painel de Controle'!$D$45="Aditivo3",-'Levantamento eixo suspenso ADT3'!$I$16,-'Eixo Suspenso Pleito 6'!$D$20)</f>
        <v>70423.728673898586</v>
      </c>
      <c r="P76" s="530"/>
      <c r="R76" s="315">
        <f>QD0!P37</f>
        <v>4.7525160660998287</v>
      </c>
      <c r="T76" s="91"/>
      <c r="U76" s="91"/>
      <c r="V76" s="91"/>
      <c r="W76" s="91"/>
      <c r="X76" s="91"/>
      <c r="Y76" s="91"/>
    </row>
    <row r="77" spans="1:25">
      <c r="A77" s="126">
        <v>2043</v>
      </c>
      <c r="B77" s="497">
        <v>32</v>
      </c>
      <c r="C77" s="521">
        <f>QDA!C77*C$45*$R77/1000</f>
        <v>23544.24161476548</v>
      </c>
      <c r="D77" s="521">
        <f>QDA!D77*D$45*$R77/1000</f>
        <v>16397.331635988456</v>
      </c>
      <c r="E77" s="521">
        <f>QDA!E77*E$45*$R77/1000</f>
        <v>12045.037254550907</v>
      </c>
      <c r="F77" s="521">
        <f>QDA!F77*F$45*$R77/1000</f>
        <v>689.82092720954972</v>
      </c>
      <c r="G77" s="521">
        <f>QDA!G77*G$45*$R77/1000</f>
        <v>16015.462271406728</v>
      </c>
      <c r="H77" s="521">
        <f>QDA!H77*H$45*$R77/1000</f>
        <v>4993.151797051356</v>
      </c>
      <c r="I77" s="521">
        <f>QDA!I77*I$45*$R77/1000</f>
        <v>2715.3840518579905</v>
      </c>
      <c r="J77" s="521">
        <f>QDA!J77*J$45*$R77/1000</f>
        <v>314.18989054195322</v>
      </c>
      <c r="K77" s="521">
        <f>QDA!K77*K$45*$R77/1000</f>
        <v>0</v>
      </c>
      <c r="L77" s="521">
        <f>QDA!L77*L$45*$R77/1000</f>
        <v>50.32617462163342</v>
      </c>
      <c r="M77" s="521">
        <f>QDA!M77*M$45*$R77/1000</f>
        <v>1.7432042641511181</v>
      </c>
      <c r="N77" s="521">
        <f>QDA!N77*N$45*$R77/1000</f>
        <v>1988.9956798989328</v>
      </c>
      <c r="O77" s="10">
        <f>SUM(C77:N77)+SUM(C77:N77)*IF('Painel de Controle'!$D$45="Aditivo3",-'Levantamento eixo suspenso ADT3'!$I$16,-'Eixo Suspenso Pleito 6'!$D$20)</f>
        <v>72434.652295659063</v>
      </c>
      <c r="P77" s="530"/>
      <c r="R77" s="315">
        <f>QD0!P38</f>
        <v>4.7525160660998287</v>
      </c>
      <c r="T77" s="91"/>
      <c r="U77" s="91"/>
      <c r="V77" s="91"/>
      <c r="W77" s="91"/>
      <c r="X77" s="91"/>
      <c r="Y77" s="91"/>
    </row>
    <row r="78" spans="1:25">
      <c r="A78" s="126">
        <v>2044</v>
      </c>
      <c r="B78" s="497">
        <v>33</v>
      </c>
      <c r="C78" s="521">
        <f>QDA!C78*C$45*$R78/1000</f>
        <v>24086.143978362597</v>
      </c>
      <c r="D78" s="521">
        <f>QDA!D78*D$45*$R78/1000</f>
        <v>16797.837545341165</v>
      </c>
      <c r="E78" s="521">
        <f>QDA!E78*E$45*$R78/1000</f>
        <v>12418.989111383691</v>
      </c>
      <c r="F78" s="521">
        <f>QDA!F78*F$45*$R78/1000</f>
        <v>711.2343841011708</v>
      </c>
      <c r="G78" s="521">
        <f>QDA!G78*G$45*$R78/1000</f>
        <v>16514.639857661077</v>
      </c>
      <c r="H78" s="521">
        <f>QDA!H78*H$45*$R78/1000</f>
        <v>5148.7818099773303</v>
      </c>
      <c r="I78" s="521">
        <f>QDA!I78*I$45*$R78/1000</f>
        <v>2800.018551272166</v>
      </c>
      <c r="J78" s="521">
        <f>QDA!J78*J$45*$R78/1000</f>
        <v>323.98421500463002</v>
      </c>
      <c r="K78" s="521">
        <f>QDA!K78*K$45*$R78/1000</f>
        <v>0</v>
      </c>
      <c r="L78" s="521">
        <f>QDA!L78*L$45*$R78/1000</f>
        <v>51.484499167587835</v>
      </c>
      <c r="M78" s="521">
        <f>QDA!M78*M$45*$R78/1000</f>
        <v>1.7833264531106312</v>
      </c>
      <c r="N78" s="521">
        <f>QDA!N78*N$45*$R78/1000</f>
        <v>2034.775088628995</v>
      </c>
      <c r="O78" s="10">
        <f>SUM(C78:N78)+SUM(C78:N78)*IF('Painel de Controle'!$D$45="Aditivo3",-'Levantamento eixo suspenso ADT3'!$I$16,-'Eixo Suspenso Pleito 6'!$D$20)</f>
        <v>74397.363558925703</v>
      </c>
      <c r="P78" s="530"/>
      <c r="R78" s="315">
        <f>QD0!P39</f>
        <v>4.7525160660998287</v>
      </c>
      <c r="T78" s="91"/>
      <c r="U78" s="91"/>
      <c r="V78" s="91"/>
      <c r="W78" s="91"/>
      <c r="X78" s="91"/>
      <c r="Y78" s="91"/>
    </row>
    <row r="79" spans="1:25">
      <c r="A79" s="126">
        <v>2045</v>
      </c>
      <c r="B79" s="497">
        <v>34</v>
      </c>
      <c r="C79" s="521">
        <f>QDA!C79*C$45*$R79/1000</f>
        <v>24606.071297298062</v>
      </c>
      <c r="D79" s="521">
        <f>QDA!D79*D$45*$R79/1000</f>
        <v>17184.133437636287</v>
      </c>
      <c r="E79" s="521">
        <f>QDA!E79*E$45*$R79/1000</f>
        <v>12786.404859989472</v>
      </c>
      <c r="F79" s="521">
        <f>QDA!F79*F$45*$R79/1000</f>
        <v>732.2719999233575</v>
      </c>
      <c r="G79" s="521">
        <f>QDA!G79*G$45*$R79/1000</f>
        <v>17005.186871333601</v>
      </c>
      <c r="H79" s="521">
        <f>QDA!H79*H$45*$R79/1000</f>
        <v>5301.72104479256</v>
      </c>
      <c r="I79" s="521">
        <f>QDA!I79*I$45*$R79/1000</f>
        <v>2883.1897554378484</v>
      </c>
      <c r="J79" s="521">
        <f>QDA!J79*J$45*$R79/1000</f>
        <v>333.60919967623312</v>
      </c>
      <c r="K79" s="521">
        <f>QDA!K79*K$45*$R79/1000</f>
        <v>0</v>
      </c>
      <c r="L79" s="521">
        <f>QDA!L79*L$45*$R79/1000</f>
        <v>52.59585172127953</v>
      </c>
      <c r="M79" s="521">
        <f>QDA!M79*M$45*$R79/1000</f>
        <v>1.8218216203896047</v>
      </c>
      <c r="N79" s="521">
        <f>QDA!N79*N$45*$R79/1000</f>
        <v>2078.6980659813653</v>
      </c>
      <c r="O79" s="10">
        <f>SUM(C79:N79)+SUM(C79:N79)*IF('Painel de Controle'!$D$45="Aditivo3",-'Levantamento eixo suspenso ADT3'!$I$16,-'Eixo Suspenso Pleito 6'!$D$20)</f>
        <v>76306.770420093351</v>
      </c>
      <c r="P79" s="530"/>
      <c r="R79" s="315">
        <f>QD0!P40</f>
        <v>4.7525160660998287</v>
      </c>
      <c r="T79" s="91"/>
      <c r="U79" s="91"/>
      <c r="V79" s="91"/>
      <c r="W79" s="91"/>
      <c r="X79" s="91"/>
      <c r="Y79" s="91"/>
    </row>
    <row r="80" spans="1:25">
      <c r="A80" s="126">
        <v>2046</v>
      </c>
      <c r="B80" s="497">
        <v>35</v>
      </c>
      <c r="C80" s="521">
        <f>QDA!C80*C$45*$R80/1000</f>
        <v>24945.147470116473</v>
      </c>
      <c r="D80" s="521">
        <f>QDA!D80*D$45*$R80/1000</f>
        <v>17437.007781654007</v>
      </c>
      <c r="E80" s="521">
        <f>QDA!E80*E$45*$R80/1000</f>
        <v>13030.043210537824</v>
      </c>
      <c r="F80" s="521">
        <f>QDA!F80*F$45*$R80/1000</f>
        <v>746.22161395623243</v>
      </c>
      <c r="G80" s="521">
        <f>QDA!G80*G$45*$R80/1000</f>
        <v>17330.518172979424</v>
      </c>
      <c r="H80" s="521">
        <f>QDA!H80*H$45*$R80/1000</f>
        <v>5403.1505081230043</v>
      </c>
      <c r="I80" s="521">
        <f>QDA!I80*I$45*$R80/1000</f>
        <v>2938.3489865747347</v>
      </c>
      <c r="J80" s="521">
        <f>QDA!J80*J$45*$R80/1000</f>
        <v>339.99249975605818</v>
      </c>
      <c r="K80" s="521">
        <f>QDA!K80*K$45*$R80/1000</f>
        <v>0</v>
      </c>
      <c r="L80" s="521">
        <f>QDA!L80*L$45*$R80/1000</f>
        <v>53.320632198922631</v>
      </c>
      <c r="M80" s="521">
        <f>QDA!M80*M$45*$R80/1000</f>
        <v>1.8469266562620879</v>
      </c>
      <c r="N80" s="521">
        <f>QDA!N80*N$45*$R80/1000</f>
        <v>2107.3429063600643</v>
      </c>
      <c r="O80" s="10">
        <f>SUM(C80:N80)+SUM(C80:N80)*IF('Painel de Controle'!$D$45="Aditivo3",-'Levantamento eixo suspenso ADT3'!$I$16,-'Eixo Suspenso Pleito 6'!$D$20)</f>
        <v>77564.270768965638</v>
      </c>
      <c r="P80" s="530"/>
      <c r="R80" s="315">
        <f>QD0!P41</f>
        <v>4.7525160660998287</v>
      </c>
      <c r="T80" s="91"/>
      <c r="U80" s="91"/>
      <c r="V80" s="91"/>
      <c r="W80" s="91"/>
      <c r="X80" s="91"/>
      <c r="Y80" s="91"/>
    </row>
    <row r="81" spans="1:33">
      <c r="B81" s="514" t="s">
        <v>4</v>
      </c>
      <c r="C81" s="515">
        <f t="shared" ref="C81:O81" si="7">SUM(C46:C80)</f>
        <v>512530.98535300884</v>
      </c>
      <c r="D81" s="515">
        <f t="shared" si="7"/>
        <v>353899.12786149996</v>
      </c>
      <c r="E81" s="515">
        <f t="shared" si="7"/>
        <v>250514.31062934193</v>
      </c>
      <c r="F81" s="515">
        <f t="shared" si="7"/>
        <v>14335.195641267987</v>
      </c>
      <c r="G81" s="515">
        <f t="shared" si="7"/>
        <v>332544.58691208943</v>
      </c>
      <c r="H81" s="515">
        <f t="shared" si="7"/>
        <v>103676.90707402854</v>
      </c>
      <c r="I81" s="515">
        <f t="shared" si="7"/>
        <v>56382.076804748714</v>
      </c>
      <c r="J81" s="515">
        <f t="shared" si="7"/>
        <v>6522.7760529495226</v>
      </c>
      <c r="K81" s="515">
        <f t="shared" si="7"/>
        <v>0</v>
      </c>
      <c r="L81" s="515">
        <f t="shared" si="7"/>
        <v>1095.5427781414348</v>
      </c>
      <c r="M81" s="515">
        <f t="shared" si="7"/>
        <v>37.947546317084402</v>
      </c>
      <c r="N81" s="515">
        <f t="shared" si="7"/>
        <v>43298.141955957486</v>
      </c>
      <c r="O81" s="531">
        <f t="shared" si="7"/>
        <v>1548494.5525889348</v>
      </c>
      <c r="P81" s="530"/>
    </row>
    <row r="82" spans="1:33">
      <c r="B82" s="128"/>
    </row>
    <row r="83" spans="1:33">
      <c r="B83" s="516" t="s">
        <v>246</v>
      </c>
      <c r="C83" s="517"/>
      <c r="D83" s="517"/>
      <c r="E83" s="517"/>
      <c r="F83" s="517"/>
      <c r="G83" s="517"/>
      <c r="H83" s="517"/>
      <c r="I83" s="517"/>
      <c r="J83" s="517"/>
      <c r="K83" s="517"/>
      <c r="L83" s="517"/>
      <c r="M83" s="517"/>
      <c r="N83" s="518" t="s">
        <v>131</v>
      </c>
      <c r="O83" s="139">
        <f>QDL!$C$36</f>
        <v>4.7525160660998287</v>
      </c>
    </row>
    <row r="84" spans="1:33" ht="13.5" thickBot="1">
      <c r="B84" s="902" t="s">
        <v>31</v>
      </c>
      <c r="C84" s="495" t="s">
        <v>32</v>
      </c>
      <c r="D84" s="495" t="s">
        <v>33</v>
      </c>
      <c r="E84" s="495" t="s">
        <v>34</v>
      </c>
      <c r="F84" s="495" t="s">
        <v>35</v>
      </c>
      <c r="G84" s="495" t="s">
        <v>36</v>
      </c>
      <c r="H84" s="495" t="s">
        <v>37</v>
      </c>
      <c r="I84" s="495" t="s">
        <v>38</v>
      </c>
      <c r="J84" s="495" t="s">
        <v>39</v>
      </c>
      <c r="K84" s="495" t="s">
        <v>40</v>
      </c>
      <c r="L84" s="495" t="s">
        <v>240</v>
      </c>
      <c r="M84" s="495" t="s">
        <v>241</v>
      </c>
      <c r="N84" s="495" t="s">
        <v>242</v>
      </c>
      <c r="O84" s="902" t="s">
        <v>41</v>
      </c>
      <c r="AB84" s="495" t="s">
        <v>34</v>
      </c>
      <c r="AC84" s="495" t="s">
        <v>35</v>
      </c>
      <c r="AD84" s="495" t="s">
        <v>36</v>
      </c>
      <c r="AE84" s="495" t="s">
        <v>37</v>
      </c>
      <c r="AF84" s="495" t="s">
        <v>38</v>
      </c>
      <c r="AG84" s="495" t="s">
        <v>39</v>
      </c>
    </row>
    <row r="85" spans="1:33" ht="12.75" customHeight="1">
      <c r="B85" s="903"/>
      <c r="C85" s="496">
        <f>C$5</f>
        <v>1</v>
      </c>
      <c r="D85" s="496">
        <f t="shared" ref="D85:N85" si="8">D$5</f>
        <v>2</v>
      </c>
      <c r="E85" s="496">
        <f t="shared" si="8"/>
        <v>3</v>
      </c>
      <c r="F85" s="496">
        <f t="shared" si="8"/>
        <v>4</v>
      </c>
      <c r="G85" s="496">
        <f t="shared" si="8"/>
        <v>5</v>
      </c>
      <c r="H85" s="496">
        <f t="shared" si="8"/>
        <v>6</v>
      </c>
      <c r="I85" s="496">
        <f t="shared" si="8"/>
        <v>7</v>
      </c>
      <c r="J85" s="496">
        <f t="shared" si="8"/>
        <v>8</v>
      </c>
      <c r="K85" s="496">
        <f t="shared" si="8"/>
        <v>9</v>
      </c>
      <c r="L85" s="496">
        <f t="shared" si="8"/>
        <v>1.5</v>
      </c>
      <c r="M85" s="496">
        <f t="shared" si="8"/>
        <v>2</v>
      </c>
      <c r="N85" s="496">
        <f t="shared" si="8"/>
        <v>0.5</v>
      </c>
      <c r="O85" s="909"/>
      <c r="P85" s="907" t="s">
        <v>426</v>
      </c>
    </row>
    <row r="86" spans="1:33">
      <c r="A86" s="126">
        <v>2012</v>
      </c>
      <c r="B86" s="497">
        <v>1</v>
      </c>
      <c r="C86" s="521"/>
      <c r="D86" s="521"/>
      <c r="E86" s="521"/>
      <c r="F86" s="521"/>
      <c r="G86" s="521"/>
      <c r="H86" s="521"/>
      <c r="I86" s="521"/>
      <c r="J86" s="521"/>
      <c r="K86" s="521"/>
      <c r="L86" s="521"/>
      <c r="M86" s="521"/>
      <c r="N86" s="521"/>
      <c r="O86" s="209">
        <f>SUM(C86:N86)</f>
        <v>0</v>
      </c>
      <c r="P86" s="908"/>
    </row>
    <row r="87" spans="1:33" ht="12.75" customHeight="1">
      <c r="A87" s="126">
        <v>2013</v>
      </c>
      <c r="B87" s="497">
        <v>2</v>
      </c>
      <c r="C87" s="521">
        <f>QDA!C87*C$85*$R$87/1000</f>
        <v>0</v>
      </c>
      <c r="D87" s="521">
        <f>QDA!D87*D$85*$R$87/1000</f>
        <v>0</v>
      </c>
      <c r="E87" s="521">
        <f>QDA!E87*E$85*$R$87/1000</f>
        <v>0</v>
      </c>
      <c r="F87" s="521">
        <f>QDA!F87*F$85*$R$87/1000</f>
        <v>0</v>
      </c>
      <c r="G87" s="521">
        <f>QDA!G87*G$85*$R$87/1000</f>
        <v>0</v>
      </c>
      <c r="H87" s="521">
        <f>QDA!H87*H$85*$R$87/1000</f>
        <v>0</v>
      </c>
      <c r="I87" s="521">
        <f>QDA!I87*I$85*$R$87/1000</f>
        <v>0</v>
      </c>
      <c r="J87" s="521">
        <f>QDA!J87*J$85*$R$87/1000</f>
        <v>0</v>
      </c>
      <c r="K87" s="521">
        <f>QDA!K87*K$85*$R$87/1000</f>
        <v>0</v>
      </c>
      <c r="L87" s="521">
        <f>QDA!L87*L$85*$R$87/1000</f>
        <v>0</v>
      </c>
      <c r="M87" s="521">
        <f>QDA!M87*M$85*$R$87/1000</f>
        <v>0</v>
      </c>
      <c r="N87" s="521">
        <f>QDA!N87*N$85*$R$87/1000</f>
        <v>0</v>
      </c>
      <c r="O87" s="209">
        <f>SUM(C87:N87)</f>
        <v>0</v>
      </c>
      <c r="P87" s="908"/>
      <c r="Q87" s="532"/>
      <c r="R87" s="533">
        <f>QD0!P8</f>
        <v>0</v>
      </c>
      <c r="T87" s="534" t="s">
        <v>435</v>
      </c>
      <c r="U87" s="535"/>
      <c r="V87" s="536"/>
      <c r="W87" s="534" t="s">
        <v>437</v>
      </c>
      <c r="X87" s="537"/>
      <c r="Y87" s="536"/>
      <c r="Z87" s="900" t="s">
        <v>436</v>
      </c>
    </row>
    <row r="88" spans="1:33">
      <c r="A88" s="126">
        <v>2014</v>
      </c>
      <c r="B88" s="497">
        <v>3</v>
      </c>
      <c r="C88" s="521">
        <f>QDA!C88*C$85*$R88/1000</f>
        <v>3270.2705712554603</v>
      </c>
      <c r="D88" s="521">
        <f>QDA!D88*D$85*$R88/1000</f>
        <v>1034.5520994964977</v>
      </c>
      <c r="E88" s="521">
        <f>QDA!E88*E$85*$R88/1000</f>
        <v>807.70198434336123</v>
      </c>
      <c r="F88" s="521">
        <f>QDA!F88*F$85*$R88/1000</f>
        <v>12.571305392174805</v>
      </c>
      <c r="G88" s="521">
        <f>QDA!G88*G$85*$R88/1000</f>
        <v>245.07221505103229</v>
      </c>
      <c r="H88" s="521">
        <f>QDA!H88*H$85*$R88/1000</f>
        <v>113.3878338084923</v>
      </c>
      <c r="I88" s="521">
        <f>QDA!I88*I$85*$R88/1000</f>
        <v>67.786076133302814</v>
      </c>
      <c r="J88" s="521">
        <f>QDA!J88*J$85*$R88/1000</f>
        <v>14.585492443959721</v>
      </c>
      <c r="K88" s="521">
        <f>QDA!K88*K$85*$R88/1000</f>
        <v>0</v>
      </c>
      <c r="L88" s="521">
        <f>QDA!L88*L$85*$R88/1000</f>
        <v>7.7969034177255061</v>
      </c>
      <c r="M88" s="521">
        <f>QDA!M88*M$85*$R88/1000</f>
        <v>0</v>
      </c>
      <c r="N88" s="521">
        <f>QDA!N88*N$85*$R88/1000</f>
        <v>239.27221351924845</v>
      </c>
      <c r="O88" s="526">
        <f>SUM(C88:N88)*(1-P88)</f>
        <v>5812.9966948612546</v>
      </c>
      <c r="P88" s="270">
        <f>IF('Painel de Controle'!$G$14="PP02",IF('Painel de Controle'!$H$15-1&lt;QDB!B88,0,'Painel de Controle'!$H$14),0)</f>
        <v>0</v>
      </c>
      <c r="Q88" s="289">
        <f>83.33%*P88</f>
        <v>0</v>
      </c>
      <c r="R88" s="315">
        <f>QD0!P9</f>
        <v>3.8356302866944683</v>
      </c>
      <c r="T88" s="538" t="s">
        <v>422</v>
      </c>
      <c r="U88" s="538" t="s">
        <v>423</v>
      </c>
      <c r="V88" s="497" t="s">
        <v>421</v>
      </c>
      <c r="W88" s="538" t="s">
        <v>422</v>
      </c>
      <c r="X88" s="538" t="s">
        <v>423</v>
      </c>
      <c r="Y88" s="497" t="s">
        <v>421</v>
      </c>
      <c r="Z88" s="901"/>
    </row>
    <row r="89" spans="1:33">
      <c r="A89" s="126">
        <v>2015</v>
      </c>
      <c r="B89" s="497">
        <v>4</v>
      </c>
      <c r="C89" s="521">
        <f>QDA!C89*C$85*$R89/1000</f>
        <v>4218.5151420736847</v>
      </c>
      <c r="D89" s="521">
        <f>QDA!D89*D$85*$R89/1000</f>
        <v>1329.0407664416359</v>
      </c>
      <c r="E89" s="521">
        <f>QDA!E89*E$85*$R89/1000</f>
        <v>1016.328094929816</v>
      </c>
      <c r="F89" s="521">
        <f>QDA!F89*F$85*$R89/1000</f>
        <v>15.841384003748615</v>
      </c>
      <c r="G89" s="521">
        <f>QDA!G89*G$85*$R89/1000</f>
        <v>308.82099719646033</v>
      </c>
      <c r="H89" s="521">
        <f>QDA!H89*H$85*$R89/1000</f>
        <v>142.88255361544552</v>
      </c>
      <c r="I89" s="521">
        <f>QDA!I89*I$85*$R89/1000</f>
        <v>85.418755541759992</v>
      </c>
      <c r="J89" s="521">
        <f>QDA!J89*J$85*$R89/1000</f>
        <v>18.379506302691762</v>
      </c>
      <c r="K89" s="521">
        <f>QDA!K89*K$85*$R89/1000</f>
        <v>0</v>
      </c>
      <c r="L89" s="521">
        <f>QDA!L89*L$85*$R89/1000</f>
        <v>10.057686179872899</v>
      </c>
      <c r="M89" s="521">
        <f>QDA!M89*M$85*$R89/1000</f>
        <v>0</v>
      </c>
      <c r="N89" s="521">
        <f>QDA!N89*N$85*$R89/1000</f>
        <v>308.65135890604222</v>
      </c>
      <c r="O89" s="526">
        <f>SUM(C89:N89)*(1-P89)</f>
        <v>7453.9362451911584</v>
      </c>
      <c r="P89" s="270">
        <f>IF('Painel de Controle'!$G$14="PP02",IF('Painel de Controle'!$H$15&lt;QDB!B89,0,'Painel de Controle'!$H$14)*Z89,0)</f>
        <v>0</v>
      </c>
      <c r="Q89" s="511">
        <f>88.2%*P88</f>
        <v>0</v>
      </c>
      <c r="R89" s="315">
        <f>QD0!P10</f>
        <v>4.60527978501145</v>
      </c>
      <c r="T89" s="539">
        <v>41947</v>
      </c>
      <c r="U89" s="539">
        <v>42311</v>
      </c>
      <c r="V89" s="540">
        <f>U89-T89+1</f>
        <v>365</v>
      </c>
      <c r="W89" s="539">
        <f>'Painel de Controle'!H16</f>
        <v>42269</v>
      </c>
      <c r="X89" s="539">
        <f>U89</f>
        <v>42311</v>
      </c>
      <c r="Y89" s="540">
        <f>IF((X89-W89+1)&lt;366,IF((X89-W89+1)&lt;0,0,X89-W89+1),V89)</f>
        <v>43</v>
      </c>
      <c r="Z89" s="316">
        <f>-(Y89/V89-1)</f>
        <v>0.88219178082191785</v>
      </c>
    </row>
    <row r="90" spans="1:33">
      <c r="A90" s="126">
        <v>2016</v>
      </c>
      <c r="B90" s="497">
        <v>5</v>
      </c>
      <c r="C90" s="521">
        <f>QDA!C90*C$85*$R90/1000</f>
        <v>4519.1740104920245</v>
      </c>
      <c r="D90" s="521">
        <f>QDA!D90*D$85*$R90/1000</f>
        <v>1418.6502267242529</v>
      </c>
      <c r="E90" s="521">
        <f>QDA!E90*E$85*$R90/1000</f>
        <v>1064.9391988109744</v>
      </c>
      <c r="F90" s="521">
        <f>QDA!F90*F$85*$R90/1000</f>
        <v>16.622251918608857</v>
      </c>
      <c r="G90" s="521">
        <f>QDA!G90*G$85*$R90/1000</f>
        <v>324.04368279569815</v>
      </c>
      <c r="H90" s="521">
        <f>QDA!H90*H$85*$R90/1000</f>
        <v>149.92565046135226</v>
      </c>
      <c r="I90" s="521">
        <f>QDA!I90*I$85*$R90/1000</f>
        <v>89.62929456499603</v>
      </c>
      <c r="J90" s="521">
        <f>QDA!J90*J$85*$R90/1000</f>
        <v>19.285485651424644</v>
      </c>
      <c r="K90" s="521">
        <f>QDA!K90*K$85*$R90/1000</f>
        <v>0</v>
      </c>
      <c r="L90" s="521">
        <f>QDA!L90*L$85*$R90/1000</f>
        <v>10.774510096323487</v>
      </c>
      <c r="M90" s="521">
        <f>QDA!M90*M$85*$R90/1000</f>
        <v>0</v>
      </c>
      <c r="N90" s="521">
        <f>QDA!N90*N$85*$R90/1000</f>
        <v>330.64932861318829</v>
      </c>
      <c r="O90" s="526">
        <f>SUM(C90:N90)*(1-P90)</f>
        <v>7943.693640128844</v>
      </c>
      <c r="P90" s="270">
        <f>IF('Painel de Controle'!$G$14="PP02",IF('Painel de Controle'!$H$15&lt;QDB!B90,0,'Painel de Controle'!$H$14)*Z90,0)</f>
        <v>0</v>
      </c>
      <c r="R90" s="315">
        <f>QD0!P11</f>
        <v>4.60527978501145</v>
      </c>
      <c r="T90" s="539">
        <v>42312</v>
      </c>
      <c r="U90" s="539">
        <v>42677</v>
      </c>
      <c r="V90" s="540">
        <f>U90-T90+1</f>
        <v>366</v>
      </c>
      <c r="W90" s="539">
        <f>W89</f>
        <v>42269</v>
      </c>
      <c r="X90" s="539">
        <f>U90</f>
        <v>42677</v>
      </c>
      <c r="Y90" s="540">
        <f>IF((X90-W90+1)&lt;366,IF((X90-W90+1)&lt;0,0,X90-W90+1),V90)</f>
        <v>366</v>
      </c>
      <c r="Z90" s="316">
        <f>-(Y90/V90-1)</f>
        <v>0</v>
      </c>
      <c r="AB90" s="529"/>
    </row>
    <row r="91" spans="1:33" ht="13.5" thickBot="1">
      <c r="A91" s="126">
        <v>2017</v>
      </c>
      <c r="B91" s="497">
        <v>6</v>
      </c>
      <c r="C91" s="521">
        <f>QDA!C91*C$85*$R91/1000</f>
        <v>4834.7068400725293</v>
      </c>
      <c r="D91" s="521">
        <f>QDA!D91*D$85*$R91/1000</f>
        <v>1511.3271063789878</v>
      </c>
      <c r="E91" s="521">
        <f>QDA!E91*E$85*$R91/1000</f>
        <v>1109.5943571682847</v>
      </c>
      <c r="F91" s="521">
        <f>QDA!F91*F$85*$R91/1000</f>
        <v>17.34716910309303</v>
      </c>
      <c r="G91" s="521">
        <f>QDA!G91*G$85*$R91/1000</f>
        <v>338.17563286674471</v>
      </c>
      <c r="H91" s="521">
        <f>QDA!H91*H$85*$R91/1000</f>
        <v>156.46409548953332</v>
      </c>
      <c r="I91" s="521">
        <f>QDA!I91*I$85*$R91/1000</f>
        <v>93.538140140282991</v>
      </c>
      <c r="J91" s="521">
        <f>QDA!J91*J$85*$R91/1000</f>
        <v>20.126549788118979</v>
      </c>
      <c r="K91" s="521">
        <f>QDA!K91*K$85*$R91/1000</f>
        <v>0</v>
      </c>
      <c r="L91" s="521">
        <f>QDA!L91*L$85*$R91/1000</f>
        <v>11.526796166774339</v>
      </c>
      <c r="M91" s="521">
        <f>QDA!M91*M$85*$R91/1000</f>
        <v>0</v>
      </c>
      <c r="N91" s="521">
        <f>QDA!N91*N$85*$R91/1000</f>
        <v>353.73556472934405</v>
      </c>
      <c r="O91" s="526">
        <f>SUM(C91:N91)*(1-P91)</f>
        <v>8446.5422519036911</v>
      </c>
      <c r="P91" s="210">
        <f>IF('Painel de Controle'!$G$14="PP02",IF('Painel de Controle'!$H$15&lt;QDB!B91,0,'Painel de Controle'!$H$14)*Z91,0)</f>
        <v>0</v>
      </c>
      <c r="R91" s="315">
        <f>QD0!P12</f>
        <v>4.60527978501145</v>
      </c>
      <c r="T91" s="539">
        <v>42678</v>
      </c>
      <c r="U91" s="539">
        <v>43042</v>
      </c>
      <c r="V91" s="540">
        <f>U91-T91+1</f>
        <v>365</v>
      </c>
      <c r="W91" s="539">
        <f>W90</f>
        <v>42269</v>
      </c>
      <c r="X91" s="539">
        <f>U91</f>
        <v>43042</v>
      </c>
      <c r="Y91" s="540">
        <f>IF((X91-W91+1)&lt;366,IF((X91-W91+1)&lt;0,0,X91-W91+1),V91)</f>
        <v>365</v>
      </c>
      <c r="Z91" s="316">
        <f>-(Y91/V91-1)</f>
        <v>0</v>
      </c>
    </row>
    <row r="92" spans="1:33">
      <c r="A92" s="126">
        <v>2018</v>
      </c>
      <c r="B92" s="497">
        <v>7</v>
      </c>
      <c r="C92" s="521">
        <f>QDA!C92*C$85*$R92/1000</f>
        <v>5213.8108046843608</v>
      </c>
      <c r="D92" s="521">
        <f>QDA!D92*D$85*$R92/1000</f>
        <v>1620.7411160365409</v>
      </c>
      <c r="E92" s="521">
        <f>QDA!E92*E$85*$R92/1000</f>
        <v>1154.2381713441857</v>
      </c>
      <c r="F92" s="521">
        <f>QDA!F92*F$85*$R92/1000</f>
        <v>18.082302449863079</v>
      </c>
      <c r="G92" s="521">
        <f>QDA!G92*G$85*$R92/1000</f>
        <v>352.50674264655794</v>
      </c>
      <c r="H92" s="521">
        <f>QDA!H92*H$85*$R92/1000</f>
        <v>163.09468596126976</v>
      </c>
      <c r="I92" s="521">
        <f>QDA!I92*I$85*$R92/1000</f>
        <v>97.502072560801778</v>
      </c>
      <c r="J92" s="521">
        <f>QDA!J92*J$85*$R92/1000</f>
        <v>20.979466930780369</v>
      </c>
      <c r="K92" s="521">
        <f>QDA!K92*K$85*$R92/1000</f>
        <v>0</v>
      </c>
      <c r="L92" s="521">
        <f>QDA!L92*L$85*$R92/1000</f>
        <v>12.430647066249156</v>
      </c>
      <c r="M92" s="521">
        <f>QDA!M92*M$85*$R92/1000</f>
        <v>0</v>
      </c>
      <c r="N92" s="521">
        <f>QDA!N92*N$85*$R92/1000</f>
        <v>381.47303867535226</v>
      </c>
      <c r="O92" s="10">
        <f>SUM(C92:N92)+(SUM(C92:N92)*IF('Painel de Controle'!$D$45="Aditivo3",-'Levantamento eixo suspenso ADT3'!$I$16,-'Eixo Suspenso Pleito 6'!$D$17)*$S$24)</f>
        <v>8735.6381834134536</v>
      </c>
      <c r="R92" s="315">
        <f>QD0!P13</f>
        <v>4.6504420533133422</v>
      </c>
      <c r="T92" s="541"/>
      <c r="U92" s="541"/>
      <c r="V92" s="541"/>
      <c r="W92" s="541"/>
      <c r="X92" s="541"/>
      <c r="Y92" s="541"/>
      <c r="AB92" s="467">
        <v>5.7559198542805098E-2</v>
      </c>
      <c r="AC92" s="467">
        <v>0.1875</v>
      </c>
      <c r="AD92" s="467">
        <v>0.11192660550458716</v>
      </c>
      <c r="AE92" s="467">
        <v>0.18405797101449275</v>
      </c>
      <c r="AF92" s="467">
        <v>9.5238095238095233E-2</v>
      </c>
      <c r="AG92" s="467">
        <v>0</v>
      </c>
    </row>
    <row r="93" spans="1:33">
      <c r="A93" s="126">
        <v>2019</v>
      </c>
      <c r="B93" s="497">
        <v>8</v>
      </c>
      <c r="C93" s="521">
        <f>QDA!C93*C$85*$R93/1000</f>
        <v>5840.1953100016408</v>
      </c>
      <c r="D93" s="521">
        <f>QDA!D93*D$85*$R93/1000</f>
        <v>1806.8341210475173</v>
      </c>
      <c r="E93" s="521">
        <f>QDA!E93*E$85*$R93/1000</f>
        <v>1252.7393831612133</v>
      </c>
      <c r="F93" s="521">
        <f>QDA!F93*F$85*$R93/1000</f>
        <v>19.663901068916466</v>
      </c>
      <c r="G93" s="521">
        <f>QDA!G93*G$85*$R93/1000</f>
        <v>383.33933041698458</v>
      </c>
      <c r="H93" s="521">
        <f>QDA!H93*H$85*$R93/1000</f>
        <v>177.36003357430252</v>
      </c>
      <c r="I93" s="521">
        <f>QDA!I93*I$85*$R93/1000</f>
        <v>106.03025329135775</v>
      </c>
      <c r="J93" s="521">
        <f>QDA!J93*J$85*$R93/1000</f>
        <v>22.814470853438991</v>
      </c>
      <c r="K93" s="521">
        <f>QDA!K93*K$85*$R93/1000</f>
        <v>0</v>
      </c>
      <c r="L93" s="521">
        <f>QDA!L93*L$85*$R93/1000</f>
        <v>13.924058508484555</v>
      </c>
      <c r="M93" s="521">
        <f>QDA!M93*M$85*$R93/1000</f>
        <v>0</v>
      </c>
      <c r="N93" s="521">
        <f>QDA!N93*N$85*$R93/1000</f>
        <v>427.30301018253772</v>
      </c>
      <c r="O93" s="10">
        <f>SUM(C93:N93)+SUM(C93:N93)*IF('Painel de Controle'!$D$45="Aditivo3",-'Levantamento eixo suspenso ADT3'!$I$16,-'Eixo Suspenso Pleito 6'!$D$18)</f>
        <v>9257.710072539574</v>
      </c>
      <c r="R93" s="315">
        <f>QD0!P14</f>
        <v>4.8910911491809559</v>
      </c>
      <c r="T93" s="541"/>
      <c r="U93" s="541"/>
      <c r="V93" s="541"/>
      <c r="W93" s="541"/>
      <c r="X93" s="541"/>
      <c r="Y93" s="541"/>
    </row>
    <row r="94" spans="1:33">
      <c r="A94" s="126">
        <v>2020</v>
      </c>
      <c r="B94" s="497">
        <v>9</v>
      </c>
      <c r="C94" s="521">
        <f>QDA!C94*C$85*$R94/1000</f>
        <v>6268.8430319998497</v>
      </c>
      <c r="D94" s="521">
        <f>QDA!D94*D$85*$R94/1000</f>
        <v>1931.5710938368813</v>
      </c>
      <c r="E94" s="521">
        <f>QDA!E94*E$85*$R94/1000</f>
        <v>1307.9814560941616</v>
      </c>
      <c r="F94" s="521">
        <f>QDA!F94*F$85*$R94/1000</f>
        <v>20.569511691160745</v>
      </c>
      <c r="G94" s="521">
        <f>QDA!G94*G$85*$R94/1000</f>
        <v>400.99382167652385</v>
      </c>
      <c r="H94" s="521">
        <f>QDA!H94*H$85*$R94/1000</f>
        <v>185.52825664476882</v>
      </c>
      <c r="I94" s="521">
        <f>QDA!I94*I$85*$R94/1000</f>
        <v>110.9134208440918</v>
      </c>
      <c r="J94" s="521">
        <f>QDA!J94*J$85*$R94/1000</f>
        <v>23.865179310186509</v>
      </c>
      <c r="K94" s="521">
        <f>QDA!K94*K$85*$R94/1000</f>
        <v>0</v>
      </c>
      <c r="L94" s="521">
        <f>QDA!L94*L$85*$R94/1000</f>
        <v>14.94603048781379</v>
      </c>
      <c r="M94" s="521">
        <f>QDA!M94*M$85*$R94/1000</f>
        <v>0</v>
      </c>
      <c r="N94" s="521">
        <f>QDA!N94*N$85*$R94/1000</f>
        <v>458.66539657465842</v>
      </c>
      <c r="O94" s="10">
        <f>SUM(C94:N94)+SUM(C94:N94)*IF('Painel de Controle'!$D$45="Aditivo3",-'Levantamento eixo suspenso ADT3'!$I$16,-'Eixo Suspenso Pleito 6'!$D$19)</f>
        <v>9836.9856363700983</v>
      </c>
      <c r="R94" s="315">
        <f>QD0!P15</f>
        <v>4.9375608950411713</v>
      </c>
      <c r="T94" s="541"/>
      <c r="U94" s="541"/>
      <c r="V94" s="541"/>
      <c r="W94" s="541"/>
      <c r="X94" s="541"/>
      <c r="Y94" s="541"/>
    </row>
    <row r="95" spans="1:33">
      <c r="A95" s="126">
        <v>2021</v>
      </c>
      <c r="B95" s="497">
        <v>10</v>
      </c>
      <c r="C95" s="521">
        <f>QDA!C95*C$85*$R95/1000</f>
        <v>6653.9387289931801</v>
      </c>
      <c r="D95" s="521">
        <f>QDA!D95*D$85*$R95/1000</f>
        <v>2043.1464694040155</v>
      </c>
      <c r="E95" s="521">
        <f>QDA!E95*E$85*$R95/1000</f>
        <v>1355.3336633276404</v>
      </c>
      <c r="F95" s="521">
        <f>QDA!F95*F$85*$R95/1000</f>
        <v>21.35214367103892</v>
      </c>
      <c r="G95" s="521">
        <f>QDA!G95*G$85*$R95/1000</f>
        <v>416.25089696783834</v>
      </c>
      <c r="H95" s="521">
        <f>QDA!H95*H$85*$R95/1000</f>
        <v>192.58726460768696</v>
      </c>
      <c r="I95" s="521">
        <f>QDA!I95*I$85*$R95/1000</f>
        <v>115.13347193006747</v>
      </c>
      <c r="J95" s="521">
        <f>QDA!J95*J$85*$R95/1000</f>
        <v>24.773205364188801</v>
      </c>
      <c r="K95" s="521">
        <f>QDA!K95*K$85*$R95/1000</f>
        <v>0</v>
      </c>
      <c r="L95" s="521">
        <f>QDA!L95*L$85*$R95/1000</f>
        <v>15.864166736976198</v>
      </c>
      <c r="M95" s="521">
        <f>QDA!M95*M$85*$R95/1000</f>
        <v>0</v>
      </c>
      <c r="N95" s="521">
        <f>QDA!N95*N$85*$R95/1000</f>
        <v>486.84126087354372</v>
      </c>
      <c r="O95" s="10">
        <f>SUM(C95:N95)+SUM(C95:N95)*IF('Painel de Controle'!$D$45="Aditivo3",-'Levantamento eixo suspenso ADT3'!$I$16,-'Eixo Suspenso Pleito 6'!$D$20)</f>
        <v>10416.244493148726</v>
      </c>
      <c r="R95" s="315">
        <f>QD0!P16</f>
        <v>4.9375608950411713</v>
      </c>
      <c r="T95" s="541"/>
      <c r="U95" s="541"/>
      <c r="V95" s="541"/>
      <c r="W95" s="541"/>
      <c r="X95" s="541"/>
      <c r="Y95" s="541"/>
    </row>
    <row r="96" spans="1:33">
      <c r="A96" s="126">
        <v>2022</v>
      </c>
      <c r="B96" s="497">
        <v>11</v>
      </c>
      <c r="C96" s="521">
        <f>QDA!C96*C$85*$R96/1000</f>
        <v>7049.7019593138384</v>
      </c>
      <c r="D96" s="521">
        <f>QDA!D96*D$85*$R96/1000</f>
        <v>2158.3513146463511</v>
      </c>
      <c r="E96" s="521">
        <f>QDA!E96*E$85*$R96/1000</f>
        <v>1406.5037961892706</v>
      </c>
      <c r="F96" s="521">
        <f>QDA!F96*F$85*$R96/1000</f>
        <v>22.195578684288961</v>
      </c>
      <c r="G96" s="521">
        <f>QDA!G96*G$85*$R96/1000</f>
        <v>432.69330135628388</v>
      </c>
      <c r="H96" s="521">
        <f>QDA!H96*H$85*$R96/1000</f>
        <v>200.19469009988677</v>
      </c>
      <c r="I96" s="521">
        <f>QDA!I96*I$85*$R96/1000</f>
        <v>119.6813806983366</v>
      </c>
      <c r="J96" s="521">
        <f>QDA!J96*J$85*$R96/1000</f>
        <v>25.751776374036915</v>
      </c>
      <c r="K96" s="521">
        <f>QDA!K96*K$85*$R96/1000</f>
        <v>0</v>
      </c>
      <c r="L96" s="521">
        <f>QDA!L96*L$85*$R96/1000</f>
        <v>16.807736272237193</v>
      </c>
      <c r="M96" s="521">
        <f>QDA!M96*M$85*$R96/1000</f>
        <v>0</v>
      </c>
      <c r="N96" s="521">
        <f>QDA!N96*N$85*$R96/1000</f>
        <v>515.79762460096401</v>
      </c>
      <c r="O96" s="10">
        <f>SUM(C96:N96)+SUM(C96:N96)*IF('Painel de Controle'!$D$45="Aditivo3",-'Levantamento eixo suspenso ADT3'!$I$16,-'Eixo Suspenso Pleito 6'!$D$20)</f>
        <v>10988.743111529639</v>
      </c>
      <c r="R96" s="315">
        <f>QD0!P17</f>
        <v>4.9375608950411713</v>
      </c>
      <c r="T96" s="541"/>
      <c r="U96" s="541"/>
      <c r="V96" s="541"/>
      <c r="W96" s="541"/>
      <c r="X96" s="541"/>
      <c r="Y96" s="541"/>
    </row>
    <row r="97" spans="1:25">
      <c r="A97" s="126">
        <v>2023</v>
      </c>
      <c r="B97" s="497">
        <v>12</v>
      </c>
      <c r="C97" s="521">
        <f>QDA!C97*C$85*$R97/1000</f>
        <v>7454.7578906314884</v>
      </c>
      <c r="D97" s="521">
        <f>QDA!D97*D$85*$R97/1000</f>
        <v>2276.7766298388128</v>
      </c>
      <c r="E97" s="521">
        <f>QDA!E97*E$85*$R97/1000</f>
        <v>1461.2729892675445</v>
      </c>
      <c r="F97" s="521">
        <f>QDA!F97*F$85*$R97/1000</f>
        <v>23.096373235956392</v>
      </c>
      <c r="G97" s="521">
        <f>QDA!G97*G$85*$R97/1000</f>
        <v>450.25390538237446</v>
      </c>
      <c r="H97" s="521">
        <f>QDA!H97*H$85*$R97/1000</f>
        <v>208.31947425982293</v>
      </c>
      <c r="I97" s="521">
        <f>QDA!I97*I$85*$R97/1000</f>
        <v>124.53857938653337</v>
      </c>
      <c r="J97" s="521">
        <f>QDA!J97*J$85*$R97/1000</f>
        <v>26.796897124590291</v>
      </c>
      <c r="K97" s="521">
        <f>QDA!K97*K$85*$R97/1000</f>
        <v>0</v>
      </c>
      <c r="L97" s="521">
        <f>QDA!L97*L$85*$R97/1000</f>
        <v>17.773461250170172</v>
      </c>
      <c r="M97" s="521">
        <f>QDA!M97*M$85*$R97/1000</f>
        <v>0</v>
      </c>
      <c r="N97" s="521">
        <f>QDA!N97*N$85*$R97/1000</f>
        <v>545.43389694410143</v>
      </c>
      <c r="O97" s="10">
        <f>SUM(C97:N97)+SUM(C97:N97)*IF('Painel de Controle'!$D$45="Aditivo3",-'Levantamento eixo suspenso ADT3'!$I$16,-'Eixo Suspenso Pleito 6'!$D$20)</f>
        <v>11578.60920461637</v>
      </c>
      <c r="R97" s="315">
        <f>QD0!P18</f>
        <v>4.9375608950411713</v>
      </c>
      <c r="T97" s="541"/>
      <c r="U97" s="541"/>
      <c r="V97" s="541"/>
      <c r="W97" s="541"/>
      <c r="X97" s="541"/>
      <c r="Y97" s="541"/>
    </row>
    <row r="98" spans="1:25">
      <c r="A98" s="126">
        <v>2024</v>
      </c>
      <c r="B98" s="497">
        <v>13</v>
      </c>
      <c r="C98" s="521">
        <f>QDA!C98*C$85*$R98/1000</f>
        <v>7871.5036193401666</v>
      </c>
      <c r="D98" s="521">
        <f>QDA!D98*D$85*$R98/1000</f>
        <v>2399.1618422876581</v>
      </c>
      <c r="E98" s="521">
        <f>QDA!E98*E$85*$R98/1000</f>
        <v>1520.1451462456535</v>
      </c>
      <c r="F98" s="521">
        <f>QDA!F98*F$85*$R98/1000</f>
        <v>24.062513492378731</v>
      </c>
      <c r="G98" s="521">
        <f>QDA!G98*G$85*$R98/1000</f>
        <v>469.08839593884272</v>
      </c>
      <c r="H98" s="521">
        <f>QDA!H98*H$85*$R98/1000</f>
        <v>217.03364891499444</v>
      </c>
      <c r="I98" s="521">
        <f>QDA!I98*I$85*$R98/1000</f>
        <v>129.74813041836649</v>
      </c>
      <c r="J98" s="521">
        <f>QDA!J98*J$85*$R98/1000</f>
        <v>27.917833333699079</v>
      </c>
      <c r="K98" s="521">
        <f>QDA!K98*K$85*$R98/1000</f>
        <v>0</v>
      </c>
      <c r="L98" s="521">
        <f>QDA!L98*L$85*$R98/1000</f>
        <v>18.76705677252593</v>
      </c>
      <c r="M98" s="521">
        <f>QDA!M98*M$85*$R98/1000</f>
        <v>0</v>
      </c>
      <c r="N98" s="521">
        <f>QDA!N98*N$85*$R98/1000</f>
        <v>575.92546356225353</v>
      </c>
      <c r="O98" s="10">
        <f>SUM(C98:N98)+SUM(C98:N98)*IF('Painel de Controle'!$D$45="Aditivo3",-'Levantamento eixo suspenso ADT3'!$I$16,-'Eixo Suspenso Pleito 6'!$D$20)</f>
        <v>12189.622494933219</v>
      </c>
      <c r="R98" s="315">
        <f>QD0!P19</f>
        <v>4.9399691367167016</v>
      </c>
      <c r="T98" s="541"/>
      <c r="U98" s="541"/>
      <c r="V98" s="541"/>
      <c r="W98" s="541"/>
      <c r="X98" s="541"/>
      <c r="Y98" s="541"/>
    </row>
    <row r="99" spans="1:25">
      <c r="A99" s="126">
        <v>2025</v>
      </c>
      <c r="B99" s="497">
        <v>14</v>
      </c>
      <c r="C99" s="521">
        <f>QDA!C99*C$85*$R99/1000</f>
        <v>8291.9141060534675</v>
      </c>
      <c r="D99" s="521">
        <f>QDA!D99*D$85*$R99/1000</f>
        <v>2523.0656052108634</v>
      </c>
      <c r="E99" s="521">
        <f>QDA!E99*E$85*$R99/1000</f>
        <v>1581.5918753906444</v>
      </c>
      <c r="F99" s="521">
        <f>QDA!F99*F$85*$R99/1000</f>
        <v>25.069832377832874</v>
      </c>
      <c r="G99" s="521">
        <f>QDA!G99*G$85*$R99/1000</f>
        <v>488.72564623383988</v>
      </c>
      <c r="H99" s="521">
        <f>QDA!H99*H$85*$R99/1000</f>
        <v>226.11923730958759</v>
      </c>
      <c r="I99" s="521">
        <f>QDA!I99*I$85*$R99/1000</f>
        <v>135.17972185058258</v>
      </c>
      <c r="J99" s="521">
        <f>QDA!J99*J$85*$R99/1000</f>
        <v>29.086545852734286</v>
      </c>
      <c r="K99" s="521">
        <f>QDA!K99*K$85*$R99/1000</f>
        <v>0</v>
      </c>
      <c r="L99" s="521">
        <f>QDA!L99*L$85*$R99/1000</f>
        <v>19.769389726109093</v>
      </c>
      <c r="M99" s="521">
        <f>QDA!M99*M$85*$R99/1000</f>
        <v>0</v>
      </c>
      <c r="N99" s="521">
        <f>QDA!N99*N$85*$R99/1000</f>
        <v>606.68516541284964</v>
      </c>
      <c r="O99" s="10">
        <f>SUM(C99:N99)+SUM(C99:N99)*IF('Painel de Controle'!$D$45="Aditivo3",-'Levantamento eixo suspenso ADT3'!$I$16,-'Eixo Suspenso Pleito 6'!$D$20)</f>
        <v>12809.391626222026</v>
      </c>
      <c r="R99" s="315">
        <f>QD0!P20</f>
        <v>4.9404507850518078</v>
      </c>
      <c r="T99" s="541"/>
      <c r="U99" s="541"/>
      <c r="V99" s="541"/>
      <c r="W99" s="541"/>
      <c r="X99" s="541"/>
      <c r="Y99" s="541"/>
    </row>
    <row r="100" spans="1:25">
      <c r="A100" s="126">
        <v>2026</v>
      </c>
      <c r="B100" s="497">
        <v>15</v>
      </c>
      <c r="C100" s="521">
        <f>QDA!C100*C$85*$R100/1000</f>
        <v>8385.1073065425717</v>
      </c>
      <c r="D100" s="521">
        <f>QDA!D100*D$85*$R100/1000</f>
        <v>2547.952886470694</v>
      </c>
      <c r="E100" s="521">
        <f>QDA!E100*E$85*$R100/1000</f>
        <v>1583.181308614116</v>
      </c>
      <c r="F100" s="521">
        <f>QDA!F100*F$85*$R100/1000</f>
        <v>25.127415000743802</v>
      </c>
      <c r="G100" s="521">
        <f>QDA!G100*G$85*$R100/1000</f>
        <v>489.84819480815219</v>
      </c>
      <c r="H100" s="521">
        <f>QDA!H100*H$85*$R100/1000</f>
        <v>226.63860810467986</v>
      </c>
      <c r="I100" s="521">
        <f>QDA!I100*I$85*$R100/1000</f>
        <v>135.49021467044716</v>
      </c>
      <c r="J100" s="521">
        <f>QDA!J100*J$85*$R100/1000</f>
        <v>29.153354420752489</v>
      </c>
      <c r="K100" s="521">
        <f>QDA!K100*K$85*$R100/1000</f>
        <v>0</v>
      </c>
      <c r="L100" s="521">
        <f>QDA!L100*L$85*$R100/1000</f>
        <v>19.991578798104843</v>
      </c>
      <c r="M100" s="521">
        <f>QDA!M100*M$85*$R100/1000</f>
        <v>0</v>
      </c>
      <c r="N100" s="521">
        <f>QDA!N100*N$85*$R100/1000</f>
        <v>613.50372763273674</v>
      </c>
      <c r="O100" s="10">
        <f>SUM(C100:N100)+SUM(C100:N100)*IF('Painel de Controle'!$D$45="Aditivo3",-'Levantamento eixo suspenso ADT3'!$I$16,-'Eixo Suspenso Pleito 6'!$D$20)</f>
        <v>12927.842448441477</v>
      </c>
      <c r="R100" s="315">
        <f>QD0!P21</f>
        <v>4.7525160660998287</v>
      </c>
      <c r="T100" s="541"/>
      <c r="U100" s="541"/>
      <c r="V100" s="541"/>
      <c r="W100" s="541"/>
      <c r="X100" s="541"/>
      <c r="Y100" s="541"/>
    </row>
    <row r="101" spans="1:25">
      <c r="A101" s="126">
        <v>2027</v>
      </c>
      <c r="B101" s="497">
        <v>16</v>
      </c>
      <c r="C101" s="521">
        <f>QDA!C101*C$85*$R101/1000</f>
        <v>8797.2909836507588</v>
      </c>
      <c r="D101" s="521">
        <f>QDA!D101*D$85*$R101/1000</f>
        <v>2670.3027757574669</v>
      </c>
      <c r="E101" s="521">
        <f>QDA!E101*E$85*$R101/1000</f>
        <v>1647.4748479603024</v>
      </c>
      <c r="F101" s="521">
        <f>QDA!F101*F$85*$R101/1000</f>
        <v>26.179241120441802</v>
      </c>
      <c r="G101" s="521">
        <f>QDA!G101*G$85*$R101/1000</f>
        <v>510.35309457483629</v>
      </c>
      <c r="H101" s="521">
        <f>QDA!H101*H$85*$R101/1000</f>
        <v>236.1256328435735</v>
      </c>
      <c r="I101" s="521">
        <f>QDA!I101*I$85*$R101/1000</f>
        <v>141.1617947653215</v>
      </c>
      <c r="J101" s="521">
        <f>QDA!J101*J$85*$R101/1000</f>
        <v>30.373705167363422</v>
      </c>
      <c r="K101" s="521">
        <f>QDA!K101*K$85*$R101/1000</f>
        <v>0</v>
      </c>
      <c r="L101" s="521">
        <f>QDA!L101*L$85*$R101/1000</f>
        <v>20.97429758260644</v>
      </c>
      <c r="M101" s="521">
        <f>QDA!M101*M$85*$R101/1000</f>
        <v>0</v>
      </c>
      <c r="N101" s="521">
        <f>QDA!N101*N$85*$R101/1000</f>
        <v>643.6615077458107</v>
      </c>
      <c r="O101" s="10">
        <f>SUM(C101:N101)+SUM(C101:N101)*IF('Painel de Controle'!$D$45="Aditivo3",-'Levantamento eixo suspenso ADT3'!$I$16,-'Eixo Suspenso Pleito 6'!$D$20)</f>
        <v>13542.138960521868</v>
      </c>
      <c r="R101" s="315">
        <f>QD0!P22</f>
        <v>4.7525160660998287</v>
      </c>
      <c r="T101" s="541"/>
      <c r="U101" s="541"/>
      <c r="V101" s="541"/>
      <c r="W101" s="541"/>
      <c r="X101" s="541"/>
      <c r="Y101" s="541"/>
    </row>
    <row r="102" spans="1:25">
      <c r="A102" s="126">
        <v>2028</v>
      </c>
      <c r="B102" s="497">
        <v>17</v>
      </c>
      <c r="C102" s="521">
        <f>QDA!C102*C$85*$R102/1000</f>
        <v>9212.1796263949</v>
      </c>
      <c r="D102" s="521">
        <f>QDA!D102*D$85*$R102/1000</f>
        <v>2793.8777884186716</v>
      </c>
      <c r="E102" s="521">
        <f>QDA!E102*E$85*$R102/1000</f>
        <v>1714.1535234792013</v>
      </c>
      <c r="F102" s="521">
        <f>QDA!F102*F$85*$R102/1000</f>
        <v>27.269206945151559</v>
      </c>
      <c r="G102" s="521">
        <f>QDA!G102*G$85*$R102/1000</f>
        <v>531.60151155767539</v>
      </c>
      <c r="H102" s="521">
        <f>QDA!H102*H$85*$R102/1000</f>
        <v>245.9566615182928</v>
      </c>
      <c r="I102" s="521">
        <f>QDA!I102*I$85*$R102/1000</f>
        <v>147.03902899610108</v>
      </c>
      <c r="J102" s="521">
        <f>QDA!J102*J$85*$R102/1000</f>
        <v>31.638306400452077</v>
      </c>
      <c r="K102" s="521">
        <f>QDA!K102*K$85*$R102/1000</f>
        <v>0</v>
      </c>
      <c r="L102" s="521">
        <f>QDA!L102*L$85*$R102/1000</f>
        <v>21.963465483580883</v>
      </c>
      <c r="M102" s="521">
        <f>QDA!M102*M$85*$R102/1000</f>
        <v>0</v>
      </c>
      <c r="N102" s="521">
        <f>QDA!N102*N$85*$R102/1000</f>
        <v>674.01719904118761</v>
      </c>
      <c r="O102" s="10">
        <f>SUM(C102:N102)+SUM(C102:N102)*IF('Painel de Controle'!$D$45="Aditivo3",-'Levantamento eixo suspenso ADT3'!$I$16,-'Eixo Suspenso Pleito 6'!$D$20)</f>
        <v>14163.696948625415</v>
      </c>
      <c r="R102" s="315">
        <f>QD0!P23</f>
        <v>4.7525160660998287</v>
      </c>
      <c r="T102" s="541"/>
      <c r="U102" s="541"/>
      <c r="V102" s="541"/>
      <c r="W102" s="541"/>
      <c r="X102" s="541"/>
      <c r="Y102" s="541"/>
    </row>
    <row r="103" spans="1:25">
      <c r="A103" s="126">
        <v>2029</v>
      </c>
      <c r="B103" s="497">
        <v>18</v>
      </c>
      <c r="C103" s="521">
        <f>QDA!C103*C$85*$R103/1000</f>
        <v>9629.5639788516783</v>
      </c>
      <c r="D103" s="521">
        <f>QDA!D103*D$85*$R103/1000</f>
        <v>2918.6162440204293</v>
      </c>
      <c r="E103" s="521">
        <f>QDA!E103*E$85*$R103/1000</f>
        <v>1783.1866144659632</v>
      </c>
      <c r="F103" s="521">
        <f>QDA!F103*F$85*$R103/1000</f>
        <v>28.396870415591284</v>
      </c>
      <c r="G103" s="521">
        <f>QDA!G103*G$85*$R103/1000</f>
        <v>553.5848280002798</v>
      </c>
      <c r="H103" s="521">
        <f>QDA!H103*H$85*$R103/1000</f>
        <v>256.12770694192233</v>
      </c>
      <c r="I103" s="521">
        <f>QDA!I103*I$85*$R103/1000</f>
        <v>153.11953372296526</v>
      </c>
      <c r="J103" s="521">
        <f>QDA!J103*J$85*$R103/1000</f>
        <v>32.946645233558947</v>
      </c>
      <c r="K103" s="521">
        <f>QDA!K103*K$85*$R103/1000</f>
        <v>0</v>
      </c>
      <c r="L103" s="521">
        <f>QDA!L103*L$85*$R103/1000</f>
        <v>22.958583597898279</v>
      </c>
      <c r="M103" s="521">
        <f>QDA!M103*M$85*$R103/1000</f>
        <v>0</v>
      </c>
      <c r="N103" s="521">
        <f>QDA!N103*N$85*$R103/1000</f>
        <v>704.55549112577557</v>
      </c>
      <c r="O103" s="10">
        <f>SUM(C103:N103)+SUM(C103:N103)*IF('Painel de Controle'!$D$45="Aditivo3",-'Levantamento eixo suspenso ADT3'!$I$16,-'Eixo Suspenso Pleito 6'!$D$20)</f>
        <v>14792.209762769977</v>
      </c>
      <c r="R103" s="315">
        <f>QD0!P24</f>
        <v>4.7525160660998287</v>
      </c>
      <c r="T103" s="541"/>
      <c r="U103" s="541"/>
      <c r="V103" s="541"/>
      <c r="W103" s="541"/>
      <c r="X103" s="541"/>
      <c r="Y103" s="541"/>
    </row>
    <row r="104" spans="1:25">
      <c r="A104" s="126">
        <v>2030</v>
      </c>
      <c r="B104" s="497">
        <v>19</v>
      </c>
      <c r="C104" s="521">
        <f>QDA!C104*C$85*$R104/1000</f>
        <v>10049.360308304258</v>
      </c>
      <c r="D104" s="521">
        <f>QDA!D104*D$85*$R104/1000</f>
        <v>3044.4957663014948</v>
      </c>
      <c r="E104" s="521">
        <f>QDA!E104*E$85*$R104/1000</f>
        <v>1854.5724923236826</v>
      </c>
      <c r="F104" s="521">
        <f>QDA!F104*F$85*$R104/1000</f>
        <v>29.562258029946072</v>
      </c>
      <c r="G104" s="521">
        <f>QDA!G104*G$85*$R104/1000</f>
        <v>576.30356047342002</v>
      </c>
      <c r="H104" s="521">
        <f>QDA!H104*H$85*$R104/1000</f>
        <v>266.63900811683351</v>
      </c>
      <c r="I104" s="521">
        <f>QDA!I104*I$85*$R104/1000</f>
        <v>159.40345182749513</v>
      </c>
      <c r="J104" s="521">
        <f>QDA!J104*J$85*$R104/1000</f>
        <v>34.298752410434666</v>
      </c>
      <c r="K104" s="521">
        <f>QDA!K104*K$85*$R104/1000</f>
        <v>0</v>
      </c>
      <c r="L104" s="521">
        <f>QDA!L104*L$85*$R104/1000</f>
        <v>23.959452291952822</v>
      </c>
      <c r="M104" s="521">
        <f>QDA!M104*M$85*$R104/1000</f>
        <v>0</v>
      </c>
      <c r="N104" s="521">
        <f>QDA!N104*N$85*$R104/1000</f>
        <v>735.27025762193557</v>
      </c>
      <c r="O104" s="10">
        <f>SUM(C104:N104)+SUM(C104:N104)*IF('Painel de Controle'!$D$45="Aditivo3",-'Levantamento eixo suspenso ADT3'!$I$16,-'Eixo Suspenso Pleito 6'!$D$20)</f>
        <v>15427.573373250205</v>
      </c>
      <c r="R104" s="315">
        <f>QD0!P25</f>
        <v>4.7525160660998287</v>
      </c>
      <c r="T104" s="541"/>
      <c r="U104" s="541"/>
      <c r="V104" s="541"/>
      <c r="W104" s="541"/>
      <c r="X104" s="541"/>
      <c r="Y104" s="541"/>
    </row>
    <row r="105" spans="1:25">
      <c r="A105" s="126">
        <v>2031</v>
      </c>
      <c r="B105" s="497">
        <v>20</v>
      </c>
      <c r="C105" s="521">
        <f>QDA!C105*C$85*$R105/1000</f>
        <v>10471.178164329187</v>
      </c>
      <c r="D105" s="521">
        <f>QDA!D105*D$85*$R105/1000</f>
        <v>3172.1664559427713</v>
      </c>
      <c r="E105" s="521">
        <f>QDA!E105*E$85*$R105/1000</f>
        <v>1931.8169611990998</v>
      </c>
      <c r="F105" s="521">
        <f>QDA!F105*F$85*$R105/1000</f>
        <v>30.818064307510813</v>
      </c>
      <c r="G105" s="521">
        <f>QDA!G105*G$85*$R105/1000</f>
        <v>600.78496606470867</v>
      </c>
      <c r="H105" s="521">
        <f>QDA!H105*H$85*$R105/1000</f>
        <v>277.96584722017815</v>
      </c>
      <c r="I105" s="521">
        <f>QDA!I105*I$85*$R105/1000</f>
        <v>166.17491885371749</v>
      </c>
      <c r="J105" s="521">
        <f>QDA!J105*J$85*$R105/1000</f>
        <v>35.755765218658958</v>
      </c>
      <c r="K105" s="521">
        <f>QDA!K105*K$85*$R105/1000</f>
        <v>0</v>
      </c>
      <c r="L105" s="521">
        <f>QDA!L105*L$85*$R105/1000</f>
        <v>24.96514066288043</v>
      </c>
      <c r="M105" s="521">
        <f>QDA!M105*M$85*$R105/1000</f>
        <v>0</v>
      </c>
      <c r="N105" s="521">
        <f>QDA!N105*N$85*$R105/1000</f>
        <v>766.13293088211208</v>
      </c>
      <c r="O105" s="10">
        <f>SUM(C105:N105)+SUM(C105:N105)*IF('Painel de Controle'!$D$45="Aditivo3",-'Levantamento eixo suspenso ADT3'!$I$16,-'Eixo Suspenso Pleito 6'!$D$20)</f>
        <v>16074.971852831539</v>
      </c>
      <c r="R105" s="315">
        <f>QD0!P26</f>
        <v>4.7525160660998287</v>
      </c>
      <c r="T105" s="541"/>
      <c r="U105" s="541"/>
      <c r="V105" s="541"/>
      <c r="W105" s="541"/>
      <c r="X105" s="541"/>
      <c r="Y105" s="541"/>
    </row>
    <row r="106" spans="1:25">
      <c r="A106" s="126">
        <v>2032</v>
      </c>
      <c r="B106" s="497">
        <v>21</v>
      </c>
      <c r="C106" s="521">
        <f>QDA!C106*C$85*$R106/1000</f>
        <v>10894.242032145004</v>
      </c>
      <c r="D106" s="521">
        <f>QDA!D106*D$85*$R106/1000</f>
        <v>3302.1544007902744</v>
      </c>
      <c r="E106" s="521">
        <f>QDA!E106*E$85*$R106/1000</f>
        <v>2018.3205443340398</v>
      </c>
      <c r="F106" s="521">
        <f>QDA!F106*F$85*$R106/1000</f>
        <v>32.215315227362062</v>
      </c>
      <c r="G106" s="521">
        <f>QDA!G106*G$85*$R106/1000</f>
        <v>628.02377438474105</v>
      </c>
      <c r="H106" s="521">
        <f>QDA!H106*H$85*$R106/1000</f>
        <v>290.56845690520532</v>
      </c>
      <c r="I106" s="521">
        <f>QDA!I106*I$85*$R106/1000</f>
        <v>173.70907336477728</v>
      </c>
      <c r="J106" s="521">
        <f>QDA!J106*J$85*$R106/1000</f>
        <v>37.376885070420073</v>
      </c>
      <c r="K106" s="521">
        <f>QDA!K106*K$85*$R106/1000</f>
        <v>0</v>
      </c>
      <c r="L106" s="521">
        <f>QDA!L106*L$85*$R106/1000</f>
        <v>25.973799746285572</v>
      </c>
      <c r="M106" s="521">
        <f>QDA!M106*M$85*$R106/1000</f>
        <v>0</v>
      </c>
      <c r="N106" s="521">
        <f>QDA!N106*N$85*$R106/1000</f>
        <v>797.0867696873961</v>
      </c>
      <c r="O106" s="10">
        <f>SUM(C106:N106)+SUM(C106:N106)*IF('Painel de Controle'!$D$45="Aditivo3",-'Levantamento eixo suspenso ADT3'!$I$16,-'Eixo Suspenso Pleito 6'!$D$20)</f>
        <v>16738.942120246964</v>
      </c>
      <c r="R106" s="315">
        <f>QD0!P27</f>
        <v>4.7525160660998287</v>
      </c>
      <c r="T106" s="541"/>
      <c r="U106" s="541"/>
      <c r="V106" s="541"/>
      <c r="W106" s="541"/>
      <c r="X106" s="541"/>
      <c r="Y106" s="541"/>
    </row>
    <row r="107" spans="1:25">
      <c r="A107" s="126">
        <v>2033</v>
      </c>
      <c r="B107" s="497">
        <v>22</v>
      </c>
      <c r="C107" s="521">
        <f>QDA!C107*C$85*$R107/1000</f>
        <v>11317.67293714703</v>
      </c>
      <c r="D107" s="521">
        <f>QDA!D107*D$85*$R107/1000</f>
        <v>3432.556276200567</v>
      </c>
      <c r="E107" s="521">
        <f>QDA!E107*E$85*$R107/1000</f>
        <v>2106.2982640404789</v>
      </c>
      <c r="F107" s="521">
        <f>QDA!F107*F$85*$R107/1000</f>
        <v>33.636847426339578</v>
      </c>
      <c r="G107" s="521">
        <f>QDA!G107*G$85*$R107/1000</f>
        <v>655.73593584305991</v>
      </c>
      <c r="H107" s="521">
        <f>QDA!H107*H$85*$R107/1000</f>
        <v>303.39007341222413</v>
      </c>
      <c r="I107" s="521">
        <f>QDA!I107*I$85*$R107/1000</f>
        <v>181.37415561835223</v>
      </c>
      <c r="J107" s="521">
        <f>QDA!J107*J$85*$R107/1000</f>
        <v>39.026176571996196</v>
      </c>
      <c r="K107" s="521">
        <f>QDA!K107*K$85*$R107/1000</f>
        <v>0</v>
      </c>
      <c r="L107" s="521">
        <f>QDA!L107*L$85*$R107/1000</f>
        <v>26.983333911256345</v>
      </c>
      <c r="M107" s="521">
        <f>QDA!M107*M$85*$R107/1000</f>
        <v>0</v>
      </c>
      <c r="N107" s="521">
        <f>QDA!N107*N$85*$R107/1000</f>
        <v>828.0674630902048</v>
      </c>
      <c r="O107" s="10">
        <f>SUM(C107:N107)+SUM(C107:N107)*IF('Painel de Controle'!$D$45="Aditivo3",-'Levantamento eixo suspenso ADT3'!$I$16,-'Eixo Suspenso Pleito 6'!$D$20)</f>
        <v>17405.817451044346</v>
      </c>
      <c r="R107" s="315">
        <f>QD0!P28</f>
        <v>4.7525160660998287</v>
      </c>
      <c r="T107" s="541"/>
      <c r="U107" s="541"/>
      <c r="V107" s="541"/>
      <c r="W107" s="541"/>
      <c r="X107" s="541"/>
      <c r="Y107" s="541"/>
    </row>
    <row r="108" spans="1:25">
      <c r="A108" s="126">
        <v>2034</v>
      </c>
      <c r="B108" s="497">
        <v>23</v>
      </c>
      <c r="C108" s="521">
        <f>QDA!C108*C$85*$R108/1000</f>
        <v>11740.678480196728</v>
      </c>
      <c r="D108" s="521">
        <f>QDA!D108*D$85*$R108/1000</f>
        <v>3563.1391109460151</v>
      </c>
      <c r="E108" s="521">
        <f>QDA!E108*E$85*$R108/1000</f>
        <v>2195.636862023443</v>
      </c>
      <c r="F108" s="521">
        <f>QDA!F108*F$85*$R108/1000</f>
        <v>35.080847887569441</v>
      </c>
      <c r="G108" s="521">
        <f>QDA!G108*G$85*$R108/1000</f>
        <v>683.88610645211975</v>
      </c>
      <c r="H108" s="521">
        <f>QDA!H108*H$85*$R108/1000</f>
        <v>316.41434409927911</v>
      </c>
      <c r="I108" s="521">
        <f>QDA!I108*I$85*$R108/1000</f>
        <v>189.16038959707504</v>
      </c>
      <c r="J108" s="521">
        <f>QDA!J108*J$85*$R108/1000</f>
        <v>40.701536223146867</v>
      </c>
      <c r="K108" s="521">
        <f>QDA!K108*K$85*$R108/1000</f>
        <v>0</v>
      </c>
      <c r="L108" s="521">
        <f>QDA!L108*L$85*$R108/1000</f>
        <v>27.991853938103812</v>
      </c>
      <c r="M108" s="521">
        <f>QDA!M108*M$85*$R108/1000</f>
        <v>0</v>
      </c>
      <c r="N108" s="521">
        <f>QDA!N108*N$85*$R108/1000</f>
        <v>859.01703451283993</v>
      </c>
      <c r="O108" s="10">
        <f>SUM(C108:N108)+SUM(C108:N108)*IF('Painel de Controle'!$D$45="Aditivo3",-'Levantamento eixo suspenso ADT3'!$I$16,-'Eixo Suspenso Pleito 6'!$D$20)</f>
        <v>18074.435402521103</v>
      </c>
      <c r="R108" s="315">
        <f>QD0!P29</f>
        <v>4.7525160660998287</v>
      </c>
      <c r="T108" s="541"/>
      <c r="U108" s="541"/>
      <c r="V108" s="541"/>
      <c r="W108" s="541"/>
      <c r="X108" s="541"/>
      <c r="Y108" s="541"/>
    </row>
    <row r="109" spans="1:25">
      <c r="A109" s="126">
        <v>2035</v>
      </c>
      <c r="B109" s="497">
        <v>24</v>
      </c>
      <c r="C109" s="521">
        <f>QDA!C109*C$85*$R109/1000</f>
        <v>12162.357977038047</v>
      </c>
      <c r="D109" s="521">
        <f>QDA!D109*D$85*$R109/1000</f>
        <v>3693.6358157674954</v>
      </c>
      <c r="E109" s="521">
        <f>QDA!E109*E$85*$R109/1000</f>
        <v>2286.1970039602847</v>
      </c>
      <c r="F109" s="521">
        <f>QDA!F109*F$85*$R109/1000</f>
        <v>36.545081077965179</v>
      </c>
      <c r="G109" s="521">
        <f>QDA!G109*G$85*$R109/1000</f>
        <v>712.43070545175044</v>
      </c>
      <c r="H109" s="521">
        <f>QDA!H109*H$85*$R109/1000</f>
        <v>329.62110540768037</v>
      </c>
      <c r="I109" s="521">
        <f>QDA!I109*I$85*$R109/1000</f>
        <v>197.05572102247004</v>
      </c>
      <c r="J109" s="521">
        <f>QDA!J109*J$85*$R109/1000</f>
        <v>42.400370311451312</v>
      </c>
      <c r="K109" s="521">
        <f>QDA!K109*K$85*$R109/1000</f>
        <v>0</v>
      </c>
      <c r="L109" s="521">
        <f>QDA!L109*L$85*$R109/1000</f>
        <v>28.99721243626767</v>
      </c>
      <c r="M109" s="521">
        <f>QDA!M109*M$85*$R109/1000</f>
        <v>0</v>
      </c>
      <c r="N109" s="521">
        <f>QDA!N109*N$85*$R109/1000</f>
        <v>889.86958460204278</v>
      </c>
      <c r="O109" s="10">
        <f>SUM(C109:N109)+SUM(C109:N109)*IF('Painel de Controle'!$D$45="Aditivo3",-'Levantamento eixo suspenso ADT3'!$I$16,-'Eixo Suspenso Pleito 6'!$D$20)</f>
        <v>18743.457035216506</v>
      </c>
      <c r="R109" s="315">
        <f>QD0!P30</f>
        <v>4.7525160660998287</v>
      </c>
      <c r="T109" s="541"/>
      <c r="U109" s="541"/>
      <c r="V109" s="541"/>
      <c r="W109" s="541"/>
      <c r="X109" s="541"/>
      <c r="Y109" s="541"/>
    </row>
    <row r="110" spans="1:25">
      <c r="A110" s="126">
        <v>2036</v>
      </c>
      <c r="B110" s="497">
        <v>25</v>
      </c>
      <c r="C110" s="521">
        <f>QDA!C110*C$85*$R110/1000</f>
        <v>12581.74794005729</v>
      </c>
      <c r="D110" s="521">
        <f>QDA!D110*D$85*$R110/1000</f>
        <v>3823.7588972787503</v>
      </c>
      <c r="E110" s="521">
        <f>QDA!E110*E$85*$R110/1000</f>
        <v>2377.821368753448</v>
      </c>
      <c r="F110" s="521">
        <f>QDA!F110*F$85*$R110/1000</f>
        <v>38.027019203223972</v>
      </c>
      <c r="G110" s="521">
        <f>QDA!G110*G$85*$R110/1000</f>
        <v>741.32045457452762</v>
      </c>
      <c r="H110" s="521">
        <f>QDA!H110*H$85*$R110/1000</f>
        <v>342.98755770673188</v>
      </c>
      <c r="I110" s="521">
        <f>QDA!I110*I$85*$R110/1000</f>
        <v>205.04651970644488</v>
      </c>
      <c r="J110" s="521">
        <f>QDA!J110*J$85*$R110/1000</f>
        <v>44.119746036889701</v>
      </c>
      <c r="K110" s="521">
        <f>QDA!K110*K$85*$R110/1000</f>
        <v>0</v>
      </c>
      <c r="L110" s="521">
        <f>QDA!L110*L$85*$R110/1000</f>
        <v>29.99711228087568</v>
      </c>
      <c r="M110" s="521">
        <f>QDA!M110*M$85*$R110/1000</f>
        <v>0</v>
      </c>
      <c r="N110" s="521">
        <f>QDA!N110*N$85*$R110/1000</f>
        <v>920.55461894183031</v>
      </c>
      <c r="O110" s="10">
        <f>SUM(C110:N110)+SUM(C110:N110)*IF('Painel de Controle'!$D$45="Aditivo3",-'Levantamento eixo suspenso ADT3'!$I$16,-'Eixo Suspenso Pleito 6'!$D$20)</f>
        <v>19411.436278601079</v>
      </c>
      <c r="R110" s="315">
        <f>QD0!P31</f>
        <v>4.7525160660998287</v>
      </c>
      <c r="T110" s="541"/>
      <c r="U110" s="541"/>
      <c r="V110" s="541"/>
      <c r="W110" s="541"/>
      <c r="X110" s="541"/>
      <c r="Y110" s="541"/>
    </row>
    <row r="111" spans="1:25">
      <c r="A111" s="126">
        <v>2037</v>
      </c>
      <c r="B111" s="497">
        <v>26</v>
      </c>
      <c r="C111" s="521">
        <f>QDA!C111*C$85*$R111/1000</f>
        <v>12997.763493471995</v>
      </c>
      <c r="D111" s="521">
        <f>QDA!D111*D$85*$R111/1000</f>
        <v>3953.181964893784</v>
      </c>
      <c r="E111" s="521">
        <f>QDA!E111*E$85*$R111/1000</f>
        <v>2470.3203809227061</v>
      </c>
      <c r="F111" s="521">
        <f>QDA!F111*F$85*$R111/1000</f>
        <v>39.523610980688112</v>
      </c>
      <c r="G111" s="521">
        <f>QDA!G111*G$85*$R111/1000</f>
        <v>770.49587037172876</v>
      </c>
      <c r="H111" s="521">
        <f>QDA!H111*H$85*$R111/1000</f>
        <v>356.48617972317646</v>
      </c>
      <c r="I111" s="521">
        <f>QDA!I111*I$85*$R111/1000</f>
        <v>213.11633274517732</v>
      </c>
      <c r="J111" s="521">
        <f>QDA!J111*J$85*$R111/1000</f>
        <v>45.856123237262459</v>
      </c>
      <c r="K111" s="521">
        <f>QDA!K111*K$85*$R111/1000</f>
        <v>0</v>
      </c>
      <c r="L111" s="521">
        <f>QDA!L111*L$85*$R111/1000</f>
        <v>30.988966936192732</v>
      </c>
      <c r="M111" s="521">
        <f>QDA!M111*M$85*$R111/1000</f>
        <v>0</v>
      </c>
      <c r="N111" s="521">
        <f>QDA!N111*N$85*$R111/1000</f>
        <v>950.99276164442529</v>
      </c>
      <c r="O111" s="10">
        <f>SUM(C111:N111)+SUM(C111:N111)*IF('Painel de Controle'!$D$45="Aditivo3",-'Levantamento eixo suspenso ADT3'!$I$16,-'Eixo Suspenso Pleito 6'!$D$20)</f>
        <v>20076.724176039774</v>
      </c>
      <c r="R111" s="315">
        <f>QD0!P32</f>
        <v>4.7525160660998287</v>
      </c>
      <c r="T111" s="541"/>
      <c r="U111" s="541"/>
      <c r="V111" s="541"/>
      <c r="W111" s="541"/>
      <c r="X111" s="541"/>
      <c r="Y111" s="541"/>
    </row>
    <row r="112" spans="1:25">
      <c r="A112" s="126">
        <v>2038</v>
      </c>
      <c r="B112" s="497">
        <v>27</v>
      </c>
      <c r="C112" s="521">
        <f>QDA!C112*C$85*$R112/1000</f>
        <v>13409.176996607855</v>
      </c>
      <c r="D112" s="521">
        <f>QDA!D112*D$85*$R112/1000</f>
        <v>4081.5326107032979</v>
      </c>
      <c r="E112" s="521">
        <f>QDA!E112*E$85*$R112/1000</f>
        <v>2563.4652750744276</v>
      </c>
      <c r="F112" s="521">
        <f>QDA!F112*F$85*$R112/1000</f>
        <v>41.031168751019521</v>
      </c>
      <c r="G112" s="521">
        <f>QDA!G112*G$85*$R112/1000</f>
        <v>799.88506350377111</v>
      </c>
      <c r="H112" s="521">
        <f>QDA!H112*H$85*$R112/1000</f>
        <v>370.0837103364604</v>
      </c>
      <c r="I112" s="521">
        <f>QDA!I112*I$85*$R112/1000</f>
        <v>221.24527581091863</v>
      </c>
      <c r="J112" s="521">
        <f>QDA!J112*J$85*$R112/1000</f>
        <v>47.605223412785065</v>
      </c>
      <c r="K112" s="521">
        <f>QDA!K112*K$85*$R112/1000</f>
        <v>0</v>
      </c>
      <c r="L112" s="521">
        <f>QDA!L112*L$85*$R112/1000</f>
        <v>31.969849489732312</v>
      </c>
      <c r="M112" s="521">
        <f>QDA!M112*M$85*$R112/1000</f>
        <v>0</v>
      </c>
      <c r="N112" s="521">
        <f>QDA!N112*N$85*$R112/1000</f>
        <v>981.09419130357253</v>
      </c>
      <c r="O112" s="10">
        <f>SUM(C112:N112)+SUM(C112:N112)*IF('Painel de Controle'!$D$45="Aditivo3",-'Levantamento eixo suspenso ADT3'!$I$16,-'Eixo Suspenso Pleito 6'!$D$20)</f>
        <v>20737.431066169553</v>
      </c>
      <c r="R112" s="315">
        <f>QD0!P33</f>
        <v>4.7525160660998287</v>
      </c>
      <c r="T112" s="541"/>
      <c r="U112" s="541"/>
      <c r="V112" s="541"/>
      <c r="W112" s="541"/>
      <c r="X112" s="541"/>
      <c r="Y112" s="541"/>
    </row>
    <row r="113" spans="1:33">
      <c r="A113" s="126">
        <v>2039</v>
      </c>
      <c r="B113" s="497">
        <v>28</v>
      </c>
      <c r="C113" s="521">
        <f>QDA!C113*C$85*$R113/1000</f>
        <v>13814.674878602375</v>
      </c>
      <c r="D113" s="521">
        <f>QDA!D113*D$85*$R113/1000</f>
        <v>4208.409460384134</v>
      </c>
      <c r="E113" s="521">
        <f>QDA!E113*E$85*$R113/1000</f>
        <v>2656.9978039164876</v>
      </c>
      <c r="F113" s="521">
        <f>QDA!F113*F$85*$R113/1000</f>
        <v>42.545524644140592</v>
      </c>
      <c r="G113" s="521">
        <f>QDA!G113*G$85*$R113/1000</f>
        <v>829.40678312835166</v>
      </c>
      <c r="H113" s="521">
        <f>QDA!H113*H$85*$R113/1000</f>
        <v>383.74255712917329</v>
      </c>
      <c r="I113" s="521">
        <f>QDA!I113*I$85*$R113/1000</f>
        <v>229.41087521859177</v>
      </c>
      <c r="J113" s="521">
        <f>QDA!J113*J$85*$R113/1000</f>
        <v>49.362210913091289</v>
      </c>
      <c r="K113" s="521">
        <f>QDA!K113*K$85*$R113/1000</f>
        <v>0</v>
      </c>
      <c r="L113" s="521">
        <f>QDA!L113*L$85*$R113/1000</f>
        <v>32.936628156241788</v>
      </c>
      <c r="M113" s="521">
        <f>QDA!M113*M$85*$R113/1000</f>
        <v>0</v>
      </c>
      <c r="N113" s="521">
        <f>QDA!N113*N$85*$R113/1000</f>
        <v>1010.7627993554585</v>
      </c>
      <c r="O113" s="10">
        <f>SUM(C113:N113)+SUM(C113:N113)*IF('Painel de Controle'!$D$45="Aditivo3",-'Levantamento eixo suspenso ADT3'!$I$16,-'Eixo Suspenso Pleito 6'!$D$20)</f>
        <v>21391.512596727214</v>
      </c>
      <c r="R113" s="315">
        <f>QD0!P34</f>
        <v>4.7525160660998287</v>
      </c>
      <c r="T113" s="541"/>
      <c r="U113" s="541"/>
      <c r="V113" s="541"/>
      <c r="W113" s="541"/>
      <c r="X113" s="541"/>
      <c r="Y113" s="541"/>
    </row>
    <row r="114" spans="1:33">
      <c r="A114" s="126">
        <v>2040</v>
      </c>
      <c r="B114" s="497">
        <v>29</v>
      </c>
      <c r="C114" s="521">
        <f>QDA!C114*C$85*$R114/1000</f>
        <v>14212.766993283529</v>
      </c>
      <c r="D114" s="521">
        <f>QDA!D114*D$85*$R114/1000</f>
        <v>4333.3532938184053</v>
      </c>
      <c r="E114" s="521">
        <f>QDA!E114*E$85*$R114/1000</f>
        <v>2750.6069267838502</v>
      </c>
      <c r="F114" s="521">
        <f>QDA!F114*F$85*$R114/1000</f>
        <v>44.06165243441901</v>
      </c>
      <c r="G114" s="521">
        <f>QDA!G114*G$85*$R114/1000</f>
        <v>858.96304512921313</v>
      </c>
      <c r="H114" s="521">
        <f>QDA!H114*H$85*$R114/1000</f>
        <v>397.41738568146792</v>
      </c>
      <c r="I114" s="521">
        <f>QDA!I114*I$85*$R114/1000</f>
        <v>237.58602892089559</v>
      </c>
      <c r="J114" s="521">
        <f>QDA!J114*J$85*$R114/1000</f>
        <v>51.121254205679527</v>
      </c>
      <c r="K114" s="521">
        <f>QDA!K114*K$85*$R114/1000</f>
        <v>0</v>
      </c>
      <c r="L114" s="521">
        <f>QDA!L114*L$85*$R114/1000</f>
        <v>33.885750163701715</v>
      </c>
      <c r="M114" s="521">
        <f>QDA!M114*M$85*$R114/1000</f>
        <v>0</v>
      </c>
      <c r="N114" s="521">
        <f>QDA!N114*N$85*$R114/1000</f>
        <v>1039.8895579489381</v>
      </c>
      <c r="O114" s="10">
        <f>SUM(C114:N114)+SUM(C114:N114)*IF('Painel de Controle'!$D$45="Aditivo3",-'Levantamento eixo suspenso ADT3'!$I$16,-'Eixo Suspenso Pleito 6'!$D$20)</f>
        <v>22036.619510450495</v>
      </c>
      <c r="R114" s="315">
        <f>QD0!P35</f>
        <v>4.7525160660998287</v>
      </c>
      <c r="T114" s="541"/>
      <c r="U114" s="541"/>
      <c r="V114" s="541"/>
      <c r="W114" s="541"/>
      <c r="X114" s="541"/>
      <c r="Y114" s="541"/>
    </row>
    <row r="115" spans="1:33">
      <c r="A115" s="126">
        <v>2041</v>
      </c>
      <c r="B115" s="497">
        <v>30</v>
      </c>
      <c r="C115" s="521">
        <f>QDA!C115*C$85*$R115/1000</f>
        <v>14601.928952873375</v>
      </c>
      <c r="D115" s="521">
        <f>QDA!D115*D$85*$R115/1000</f>
        <v>4455.8908847873527</v>
      </c>
      <c r="E115" s="521">
        <f>QDA!E115*E$85*$R115/1000</f>
        <v>2843.9584102317976</v>
      </c>
      <c r="F115" s="521">
        <f>QDA!F115*F$85*$R115/1000</f>
        <v>45.574145832154805</v>
      </c>
      <c r="G115" s="521">
        <f>QDA!G115*G$85*$R115/1000</f>
        <v>888.44845620385797</v>
      </c>
      <c r="H115" s="521">
        <f>QDA!H115*H$85*$R115/1000</f>
        <v>411.0594335570737</v>
      </c>
      <c r="I115" s="521">
        <f>QDA!I115*I$85*$R115/1000</f>
        <v>245.74158551678065</v>
      </c>
      <c r="J115" s="521">
        <f>QDA!J115*J$85*$R115/1000</f>
        <v>52.876080799737629</v>
      </c>
      <c r="K115" s="521">
        <f>QDA!K115*K$85*$R115/1000</f>
        <v>0</v>
      </c>
      <c r="L115" s="521">
        <f>QDA!L115*L$85*$R115/1000</f>
        <v>34.813581102048175</v>
      </c>
      <c r="M115" s="521">
        <f>QDA!M115*M$85*$R115/1000</f>
        <v>0</v>
      </c>
      <c r="N115" s="521">
        <f>QDA!N115*N$85*$R115/1000</f>
        <v>1068.362933915748</v>
      </c>
      <c r="O115" s="10">
        <f>SUM(C115:N115)+SUM(C115:N115)*IF('Painel de Controle'!$D$45="Aditivo3",-'Levantamento eixo suspenso ADT3'!$I$16,-'Eixo Suspenso Pleito 6'!$D$20)</f>
        <v>22670.321856781949</v>
      </c>
      <c r="R115" s="315">
        <f>QD0!P36</f>
        <v>4.7525160660998287</v>
      </c>
      <c r="T115" s="541"/>
      <c r="U115" s="541"/>
      <c r="V115" s="541"/>
      <c r="W115" s="541"/>
      <c r="X115" s="541"/>
      <c r="Y115" s="541"/>
    </row>
    <row r="116" spans="1:33">
      <c r="A116" s="126">
        <v>2042</v>
      </c>
      <c r="B116" s="497">
        <v>31</v>
      </c>
      <c r="C116" s="521">
        <f>QDA!C116*C$85*$R116/1000</f>
        <v>14980.636441471654</v>
      </c>
      <c r="D116" s="521">
        <f>QDA!D116*D$85*$R116/1000</f>
        <v>4575.5453260099703</v>
      </c>
      <c r="E116" s="521">
        <f>QDA!E116*E$85*$R116/1000</f>
        <v>2936.7008317591481</v>
      </c>
      <c r="F116" s="521">
        <f>QDA!F116*F$85*$R116/1000</f>
        <v>47.077315118582007</v>
      </c>
      <c r="G116" s="521">
        <f>QDA!G116*G$85*$R116/1000</f>
        <v>917.75209772152459</v>
      </c>
      <c r="H116" s="521">
        <f>QDA!H116*H$85*$R116/1000</f>
        <v>424.61738190995766</v>
      </c>
      <c r="I116" s="521">
        <f>QDA!I116*I$85*$R116/1000</f>
        <v>253.84686531965798</v>
      </c>
      <c r="J116" s="521">
        <f>QDA!J116*J$85*$R116/1000</f>
        <v>54.620089364100707</v>
      </c>
      <c r="K116" s="521">
        <f>QDA!K116*K$85*$R116/1000</f>
        <v>0</v>
      </c>
      <c r="L116" s="521">
        <f>QDA!L116*L$85*$R116/1000</f>
        <v>35.716486732586446</v>
      </c>
      <c r="M116" s="521">
        <f>QDA!M116*M$85*$R116/1000</f>
        <v>0</v>
      </c>
      <c r="N116" s="521">
        <f>QDA!N116*N$85*$R116/1000</f>
        <v>1096.0713993466184</v>
      </c>
      <c r="O116" s="10">
        <f>SUM(C116:N116)+SUM(C116:N116)*IF('Painel de Controle'!$D$45="Aditivo3",-'Levantamento eixo suspenso ADT3'!$I$16,-'Eixo Suspenso Pleito 6'!$D$20)</f>
        <v>23290.161159372437</v>
      </c>
      <c r="R116" s="315">
        <f>QD0!P37</f>
        <v>4.7525160660998287</v>
      </c>
      <c r="T116" s="541"/>
      <c r="U116" s="541"/>
      <c r="V116" s="541"/>
      <c r="W116" s="541"/>
      <c r="X116" s="541"/>
      <c r="Y116" s="541"/>
    </row>
    <row r="117" spans="1:33">
      <c r="A117" s="126">
        <v>2043</v>
      </c>
      <c r="B117" s="497">
        <v>32</v>
      </c>
      <c r="C117" s="521">
        <f>QDA!C117*C$85*$R117/1000</f>
        <v>15347.32327835367</v>
      </c>
      <c r="D117" s="521">
        <f>QDA!D117*D$85*$R117/1000</f>
        <v>4691.8224651715946</v>
      </c>
      <c r="E117" s="521">
        <f>QDA!E117*E$85*$R117/1000</f>
        <v>3028.4538516976586</v>
      </c>
      <c r="F117" s="521">
        <f>QDA!F117*F$85*$R117/1000</f>
        <v>48.564996647427378</v>
      </c>
      <c r="G117" s="521">
        <f>QDA!G117*G$85*$R117/1000</f>
        <v>946.7538120376513</v>
      </c>
      <c r="H117" s="521">
        <f>QDA!H117*H$85*$R117/1000</f>
        <v>438.03563726931623</v>
      </c>
      <c r="I117" s="521">
        <f>QDA!I117*I$85*$R117/1000</f>
        <v>261.86863316559646</v>
      </c>
      <c r="J117" s="521">
        <f>QDA!J117*J$85*$R117/1000</f>
        <v>56.346128706959973</v>
      </c>
      <c r="K117" s="521">
        <f>QDA!K117*K$85*$R117/1000</f>
        <v>0</v>
      </c>
      <c r="L117" s="521">
        <f>QDA!L117*L$85*$R117/1000</f>
        <v>36.590733003476132</v>
      </c>
      <c r="M117" s="521">
        <f>QDA!M117*M$85*$R117/1000</f>
        <v>0</v>
      </c>
      <c r="N117" s="521">
        <f>QDA!N117*N$85*$R117/1000</f>
        <v>1122.9003632556964</v>
      </c>
      <c r="O117" s="10">
        <f>SUM(C117:N117)+SUM(C117:N117)*IF('Painel de Controle'!$D$45="Aditivo3",-'Levantamento eixo suspenso ADT3'!$I$16,-'Eixo Suspenso Pleito 6'!$D$20)</f>
        <v>23893.579349971755</v>
      </c>
      <c r="R117" s="315">
        <f>QD0!P38</f>
        <v>4.7525160660998287</v>
      </c>
      <c r="T117" s="541"/>
      <c r="U117" s="541"/>
      <c r="V117" s="541"/>
      <c r="W117" s="541"/>
      <c r="X117" s="541"/>
      <c r="Y117" s="541"/>
    </row>
    <row r="118" spans="1:33">
      <c r="A118" s="126">
        <v>2044</v>
      </c>
      <c r="B118" s="497">
        <v>33</v>
      </c>
      <c r="C118" s="521">
        <f>QDA!C118*C$85*$R118/1000</f>
        <v>15700.562549998465</v>
      </c>
      <c r="D118" s="521">
        <f>QDA!D118*D$85*$R118/1000</f>
        <v>4804.2678797545677</v>
      </c>
      <c r="E118" s="521">
        <f>QDA!E118*E$85*$R118/1000</f>
        <v>3118.8513877303699</v>
      </c>
      <c r="F118" s="521">
        <f>QDA!F118*F$85*$R118/1000</f>
        <v>50.031252285492705</v>
      </c>
      <c r="G118" s="521">
        <f>QDA!G118*G$85*$R118/1000</f>
        <v>975.33783778850227</v>
      </c>
      <c r="H118" s="521">
        <f>QDA!H118*H$85*$R118/1000</f>
        <v>451.2606401964747</v>
      </c>
      <c r="I118" s="521">
        <f>QDA!I118*I$85*$R118/1000</f>
        <v>269.77486988582194</v>
      </c>
      <c r="J118" s="521">
        <f>QDA!J118*J$85*$R118/1000</f>
        <v>58.047309281510884</v>
      </c>
      <c r="K118" s="521">
        <f>QDA!K118*K$85*$R118/1000</f>
        <v>0</v>
      </c>
      <c r="L118" s="521">
        <f>QDA!L118*L$85*$R118/1000</f>
        <v>37.432917900521169</v>
      </c>
      <c r="M118" s="521">
        <f>QDA!M118*M$85*$R118/1000</f>
        <v>0</v>
      </c>
      <c r="N118" s="521">
        <f>QDA!N118*N$85*$R118/1000</f>
        <v>1148.7454242641898</v>
      </c>
      <c r="O118" s="10">
        <f>SUM(C118:N118)+SUM(C118:N118)*IF('Painel de Controle'!$D$45="Aditivo3",-'Levantamento eixo suspenso ADT3'!$I$16,-'Eixo Suspenso Pleito 6'!$D$20)</f>
        <v>24478.213261667464</v>
      </c>
      <c r="R118" s="315">
        <f>QD0!P39</f>
        <v>4.7525160660998287</v>
      </c>
      <c r="T118" s="541"/>
      <c r="U118" s="541"/>
      <c r="V118" s="541"/>
      <c r="W118" s="541"/>
      <c r="X118" s="541"/>
      <c r="Y118" s="541"/>
    </row>
    <row r="119" spans="1:33">
      <c r="A119" s="126">
        <v>2045</v>
      </c>
      <c r="B119" s="497">
        <v>34</v>
      </c>
      <c r="C119" s="521">
        <f>QDA!C119*C$85*$R119/1000</f>
        <v>16039.477380024086</v>
      </c>
      <c r="D119" s="521">
        <f>QDA!D119*D$85*$R119/1000</f>
        <v>4912.5987130252624</v>
      </c>
      <c r="E119" s="521">
        <f>QDA!E119*E$85*$R119/1000</f>
        <v>3207.6517387231725</v>
      </c>
      <c r="F119" s="521">
        <f>QDA!F119*F$85*$R119/1000</f>
        <v>51.472156974203926</v>
      </c>
      <c r="G119" s="521">
        <f>QDA!G119*G$85*$R119/1000</f>
        <v>1003.427657638053</v>
      </c>
      <c r="H119" s="521">
        <f>QDA!H119*H$85*$R119/1000</f>
        <v>464.25698833062825</v>
      </c>
      <c r="I119" s="521">
        <f>QDA!I119*I$85*$R119/1000</f>
        <v>277.5444110657387</v>
      </c>
      <c r="J119" s="521">
        <f>QDA!J119*J$85*$R119/1000</f>
        <v>59.719077152391328</v>
      </c>
      <c r="K119" s="521">
        <f>QDA!K119*K$85*$R119/1000</f>
        <v>0</v>
      </c>
      <c r="L119" s="521">
        <f>QDA!L119*L$85*$R119/1000</f>
        <v>38.240950795343736</v>
      </c>
      <c r="M119" s="521">
        <f>QDA!M119*M$85*$R119/1000</f>
        <v>0</v>
      </c>
      <c r="N119" s="521">
        <f>QDA!N119*N$85*$R119/1000</f>
        <v>1173.5424249428208</v>
      </c>
      <c r="O119" s="10">
        <f>SUM(C119:N119)+SUM(C119:N119)*IF('Painel de Controle'!$D$45="Aditivo3",-'Levantamento eixo suspenso ADT3'!$I$16,-'Eixo Suspenso Pleito 6'!$D$20)</f>
        <v>25042.582809146788</v>
      </c>
      <c r="R119" s="315">
        <f>QD0!P40</f>
        <v>4.7525160660998287</v>
      </c>
      <c r="T119" s="541"/>
      <c r="U119" s="541"/>
      <c r="V119" s="541"/>
      <c r="W119" s="541"/>
      <c r="X119" s="541"/>
      <c r="Y119" s="541"/>
    </row>
    <row r="120" spans="1:33">
      <c r="A120" s="126">
        <v>2046</v>
      </c>
      <c r="B120" s="497">
        <v>35</v>
      </c>
      <c r="C120" s="521">
        <f>QDA!C120*C$85*$R120/1000</f>
        <v>16260.504318388816</v>
      </c>
      <c r="D120" s="521">
        <f>QDA!D120*D$85*$R120/1000</f>
        <v>4983.4555003159294</v>
      </c>
      <c r="E120" s="521">
        <f>QDA!E120*E$85*$R120/1000</f>
        <v>3266.5286302413865</v>
      </c>
      <c r="F120" s="521">
        <f>QDA!F120*F$85*$R120/1000</f>
        <v>52.427766497573558</v>
      </c>
      <c r="G120" s="521">
        <f>QDA!G120*G$85*$R120/1000</f>
        <v>1022.0568560633681</v>
      </c>
      <c r="H120" s="521">
        <f>QDA!H120*H$85*$R120/1000</f>
        <v>472.8761802475708</v>
      </c>
      <c r="I120" s="521">
        <f>QDA!I120*I$85*$R120/1000</f>
        <v>282.69717904679209</v>
      </c>
      <c r="J120" s="521">
        <f>QDA!J120*J$85*$R120/1000</f>
        <v>60.82779538392515</v>
      </c>
      <c r="K120" s="521">
        <f>QDA!K120*K$85*$R120/1000</f>
        <v>0</v>
      </c>
      <c r="L120" s="521">
        <f>QDA!L120*L$85*$R120/1000</f>
        <v>38.767918106945658</v>
      </c>
      <c r="M120" s="521">
        <f>QDA!M120*M$85*$R120/1000</f>
        <v>0</v>
      </c>
      <c r="N120" s="521">
        <f>QDA!N120*N$85*$R120/1000</f>
        <v>1189.7140546711857</v>
      </c>
      <c r="O120" s="10">
        <f>SUM(C120:N120)+SUM(C120:N120)*IF('Painel de Controle'!$D$45="Aditivo3",-'Levantamento eixo suspenso ADT3'!$I$16,-'Eixo Suspenso Pleito 6'!$D$20)</f>
        <v>25412.248517707489</v>
      </c>
      <c r="R120" s="315">
        <f>QD0!P41</f>
        <v>4.7525160660998287</v>
      </c>
      <c r="T120" s="541"/>
      <c r="U120" s="541"/>
      <c r="V120" s="541"/>
      <c r="W120" s="541"/>
      <c r="X120" s="541"/>
      <c r="Y120" s="541"/>
    </row>
    <row r="121" spans="1:33">
      <c r="B121" s="514" t="s">
        <v>4</v>
      </c>
      <c r="C121" s="515">
        <f t="shared" ref="C121:O121" si="9">SUM(C86:C120)</f>
        <v>334093.52703264495</v>
      </c>
      <c r="D121" s="515">
        <f t="shared" si="9"/>
        <v>102015.93290810897</v>
      </c>
      <c r="E121" s="515">
        <f t="shared" si="9"/>
        <v>65380.565144507818</v>
      </c>
      <c r="F121" s="515">
        <f t="shared" si="9"/>
        <v>1041.6420238966086</v>
      </c>
      <c r="G121" s="515">
        <f t="shared" si="9"/>
        <v>20306.36518030048</v>
      </c>
      <c r="H121" s="515">
        <f t="shared" si="9"/>
        <v>9395.1685214050431</v>
      </c>
      <c r="I121" s="515">
        <f t="shared" si="9"/>
        <v>5616.6661562016179</v>
      </c>
      <c r="J121" s="515">
        <f t="shared" si="9"/>
        <v>1208.5349448524191</v>
      </c>
      <c r="K121" s="515">
        <f t="shared" si="9"/>
        <v>0</v>
      </c>
      <c r="L121" s="515">
        <f t="shared" si="9"/>
        <v>796.5380557978649</v>
      </c>
      <c r="M121" s="515">
        <f t="shared" si="9"/>
        <v>0</v>
      </c>
      <c r="N121" s="515">
        <f t="shared" si="9"/>
        <v>24444.245818126608</v>
      </c>
      <c r="O121" s="531">
        <f t="shared" si="9"/>
        <v>521802.02959296358</v>
      </c>
    </row>
    <row r="122" spans="1:33">
      <c r="B122" s="128"/>
    </row>
    <row r="123" spans="1:33">
      <c r="B123" s="516" t="s">
        <v>245</v>
      </c>
      <c r="C123" s="517"/>
      <c r="D123" s="517"/>
      <c r="E123" s="517"/>
      <c r="F123" s="517"/>
      <c r="G123" s="517"/>
      <c r="H123" s="517"/>
      <c r="I123" s="517"/>
      <c r="J123" s="517"/>
      <c r="K123" s="517"/>
      <c r="L123" s="517"/>
      <c r="M123" s="517"/>
      <c r="N123" s="518" t="s">
        <v>131</v>
      </c>
      <c r="O123" s="139">
        <f>QDL!$C$36</f>
        <v>4.7525160660998287</v>
      </c>
    </row>
    <row r="124" spans="1:33">
      <c r="B124" s="902" t="s">
        <v>31</v>
      </c>
      <c r="C124" s="495" t="s">
        <v>32</v>
      </c>
      <c r="D124" s="495" t="s">
        <v>33</v>
      </c>
      <c r="E124" s="495" t="s">
        <v>34</v>
      </c>
      <c r="F124" s="495" t="s">
        <v>35</v>
      </c>
      <c r="G124" s="495" t="s">
        <v>36</v>
      </c>
      <c r="H124" s="495" t="s">
        <v>37</v>
      </c>
      <c r="I124" s="495" t="s">
        <v>38</v>
      </c>
      <c r="J124" s="495" t="s">
        <v>39</v>
      </c>
      <c r="K124" s="495" t="s">
        <v>40</v>
      </c>
      <c r="L124" s="495" t="s">
        <v>240</v>
      </c>
      <c r="M124" s="495" t="s">
        <v>241</v>
      </c>
      <c r="N124" s="495" t="s">
        <v>242</v>
      </c>
      <c r="O124" s="902" t="s">
        <v>41</v>
      </c>
      <c r="AB124" s="495" t="s">
        <v>34</v>
      </c>
      <c r="AC124" s="495" t="s">
        <v>35</v>
      </c>
      <c r="AD124" s="495" t="s">
        <v>36</v>
      </c>
      <c r="AE124" s="495" t="s">
        <v>37</v>
      </c>
      <c r="AF124" s="495" t="s">
        <v>38</v>
      </c>
      <c r="AG124" s="495" t="s">
        <v>39</v>
      </c>
    </row>
    <row r="125" spans="1:33">
      <c r="B125" s="903"/>
      <c r="C125" s="496">
        <f>C$5</f>
        <v>1</v>
      </c>
      <c r="D125" s="496">
        <f t="shared" ref="D125:N125" si="10">D$5</f>
        <v>2</v>
      </c>
      <c r="E125" s="496">
        <f t="shared" si="10"/>
        <v>3</v>
      </c>
      <c r="F125" s="496">
        <f t="shared" si="10"/>
        <v>4</v>
      </c>
      <c r="G125" s="496">
        <f t="shared" si="10"/>
        <v>5</v>
      </c>
      <c r="H125" s="496">
        <f t="shared" si="10"/>
        <v>6</v>
      </c>
      <c r="I125" s="496">
        <f t="shared" si="10"/>
        <v>7</v>
      </c>
      <c r="J125" s="496">
        <f t="shared" si="10"/>
        <v>8</v>
      </c>
      <c r="K125" s="496">
        <f t="shared" si="10"/>
        <v>9</v>
      </c>
      <c r="L125" s="496">
        <f t="shared" si="10"/>
        <v>1.5</v>
      </c>
      <c r="M125" s="496">
        <f t="shared" si="10"/>
        <v>2</v>
      </c>
      <c r="N125" s="496">
        <f t="shared" si="10"/>
        <v>0.5</v>
      </c>
      <c r="O125" s="903"/>
    </row>
    <row r="126" spans="1:33">
      <c r="A126" s="126">
        <v>2012</v>
      </c>
      <c r="B126" s="497">
        <v>1</v>
      </c>
      <c r="C126" s="521"/>
      <c r="D126" s="521"/>
      <c r="E126" s="521"/>
      <c r="F126" s="521"/>
      <c r="G126" s="521"/>
      <c r="H126" s="521"/>
      <c r="I126" s="521"/>
      <c r="J126" s="521"/>
      <c r="K126" s="521"/>
      <c r="L126" s="521"/>
      <c r="M126" s="521"/>
      <c r="N126" s="521"/>
      <c r="O126" s="140">
        <f>SUM(C126:N126)</f>
        <v>0</v>
      </c>
    </row>
    <row r="127" spans="1:33">
      <c r="A127" s="126">
        <v>2013</v>
      </c>
      <c r="B127" s="497">
        <v>2</v>
      </c>
      <c r="C127" s="521">
        <f>QDA!C127*C$125*$R$127/1000</f>
        <v>0</v>
      </c>
      <c r="D127" s="521">
        <f>QDA!D127*D$125*$R$127/1000</f>
        <v>0</v>
      </c>
      <c r="E127" s="521">
        <f>QDA!E127*E$125*$R$127/1000</f>
        <v>0</v>
      </c>
      <c r="F127" s="521">
        <f>QDA!F127*F$125*$R$127/1000</f>
        <v>0</v>
      </c>
      <c r="G127" s="521">
        <f>QDA!G127*G$125*$R$127/1000</f>
        <v>0</v>
      </c>
      <c r="H127" s="521">
        <f>QDA!H127*H$125*$R$127/1000</f>
        <v>0</v>
      </c>
      <c r="I127" s="521">
        <f>QDA!I127*I$125*$R$127/1000</f>
        <v>0</v>
      </c>
      <c r="J127" s="521">
        <f>QDA!J127*J$125*$R$127/1000</f>
        <v>0</v>
      </c>
      <c r="K127" s="521">
        <f>QDA!K127*K$125*$R$127/1000</f>
        <v>0</v>
      </c>
      <c r="L127" s="521">
        <f>QDA!L127*L$125*$R$127/1000</f>
        <v>0</v>
      </c>
      <c r="M127" s="521">
        <f>QDA!M127*M$125*$R$127/1000</f>
        <v>0</v>
      </c>
      <c r="N127" s="521">
        <f>QDA!N127*N$125*$R$127/1000</f>
        <v>0</v>
      </c>
      <c r="O127" s="140">
        <f>SUM(C127:N127)</f>
        <v>0</v>
      </c>
      <c r="R127" s="315">
        <f>QD0!P8</f>
        <v>0</v>
      </c>
      <c r="T127" s="527"/>
      <c r="U127" s="527"/>
      <c r="W127" s="527"/>
      <c r="X127" s="527"/>
    </row>
    <row r="128" spans="1:33">
      <c r="A128" s="126">
        <v>2014</v>
      </c>
      <c r="B128" s="497">
        <v>3</v>
      </c>
      <c r="C128" s="521">
        <f>QDA!C128*C$125*$R128/1000</f>
        <v>1399.9975897883046</v>
      </c>
      <c r="D128" s="521">
        <f>QDA!D128*D$125*$R128/1000</f>
        <v>1187.3883633732789</v>
      </c>
      <c r="E128" s="521">
        <f>QDA!E128*E$125*$R128/1000</f>
        <v>1560.0576235927879</v>
      </c>
      <c r="F128" s="521">
        <f>QDA!F128*F$125*$R128/1000</f>
        <v>63.684129535594501</v>
      </c>
      <c r="G128" s="521">
        <f>QDA!G128*G$125*$R128/1000</f>
        <v>1475.8341641752647</v>
      </c>
      <c r="H128" s="521">
        <f>QDA!H128*H$125*$R128/1000</f>
        <v>539.84524319766558</v>
      </c>
      <c r="I128" s="521">
        <f>QDA!I128*I$125*$R128/1000</f>
        <v>262.51182095764688</v>
      </c>
      <c r="J128" s="521">
        <f>QDA!J128*J$125*$R128/1000</f>
        <v>30.601678976194822</v>
      </c>
      <c r="K128" s="521">
        <f>QDA!K128*K$125*$R128/1000</f>
        <v>0</v>
      </c>
      <c r="L128" s="521">
        <f>QDA!L128*L$125*$R128/1000</f>
        <v>3.1606813668397415</v>
      </c>
      <c r="M128" s="521">
        <f>QDA!M128*M$125*$R128/1000</f>
        <v>0.31316796522474405</v>
      </c>
      <c r="N128" s="521">
        <f>QDA!N128*N$125*$R128/1000</f>
        <v>130.92284880672958</v>
      </c>
      <c r="O128" s="140">
        <f t="shared" ref="O128:O131" si="11">SUM(C128:N128)</f>
        <v>6654.3173117355318</v>
      </c>
      <c r="R128" s="315">
        <f>QD0!P9</f>
        <v>3.8356302866944683</v>
      </c>
      <c r="T128" s="527"/>
      <c r="U128" s="527"/>
      <c r="W128" s="528"/>
      <c r="X128" s="527"/>
    </row>
    <row r="129" spans="1:33">
      <c r="A129" s="126">
        <v>2015</v>
      </c>
      <c r="B129" s="497">
        <v>4</v>
      </c>
      <c r="C129" s="521">
        <f>QDA!C129*C$125*$R129/1000</f>
        <v>1805.9395706580144</v>
      </c>
      <c r="D129" s="521">
        <f>QDA!D129*D$125*$R129/1000</f>
        <v>1520.0906554683752</v>
      </c>
      <c r="E129" s="521">
        <f>QDA!E129*E$125*$R129/1000</f>
        <v>1954.3804775244637</v>
      </c>
      <c r="F129" s="521">
        <f>QDA!F129*F$125*$R129/1000</f>
        <v>79.291828870367056</v>
      </c>
      <c r="G129" s="521">
        <f>QDA!G129*G$125*$R129/1000</f>
        <v>1837.5050695508132</v>
      </c>
      <c r="H129" s="521">
        <f>QDA!H129*H$125*$R129/1000</f>
        <v>672.79513692351782</v>
      </c>
      <c r="I129" s="521">
        <f>QDA!I129*I$125*$R129/1000</f>
        <v>326.86873845012241</v>
      </c>
      <c r="J129" s="521">
        <f>QDA!J129*J$125*$R129/1000</f>
        <v>38.177270515452136</v>
      </c>
      <c r="K129" s="521">
        <f>QDA!K129*K$125*$R129/1000</f>
        <v>0</v>
      </c>
      <c r="L129" s="521">
        <f>QDA!L129*L$125*$R129/1000</f>
        <v>4.0771495552934924</v>
      </c>
      <c r="M129" s="521">
        <f>QDA!M129*M$125*$R129/1000</f>
        <v>0.40397385308880235</v>
      </c>
      <c r="N129" s="521">
        <f>QDA!N129*N$125*$R129/1000</f>
        <v>168.88511458016256</v>
      </c>
      <c r="O129" s="140">
        <f t="shared" si="11"/>
        <v>8408.4149859496683</v>
      </c>
      <c r="R129" s="315">
        <f>QD0!P10</f>
        <v>4.60527978501145</v>
      </c>
    </row>
    <row r="130" spans="1:33">
      <c r="A130" s="126">
        <v>2016</v>
      </c>
      <c r="B130" s="497">
        <v>5</v>
      </c>
      <c r="C130" s="521">
        <f>QDA!C130*C$125*$R130/1000</f>
        <v>1934.6511503156457</v>
      </c>
      <c r="D130" s="521">
        <f>QDA!D130*D$125*$R130/1000</f>
        <v>1617.5613083984181</v>
      </c>
      <c r="E130" s="521">
        <f>QDA!E130*E$125*$R130/1000</f>
        <v>2039.2824924964266</v>
      </c>
      <c r="F130" s="521">
        <f>QDA!F130*F$125*$R130/1000</f>
        <v>82.244318733730097</v>
      </c>
      <c r="G130" s="521">
        <f>QDA!G130*G$125*$R130/1000</f>
        <v>1905.9592564912498</v>
      </c>
      <c r="H130" s="521">
        <f>QDA!H130*H$125*$R130/1000</f>
        <v>698.51847996920742</v>
      </c>
      <c r="I130" s="521">
        <f>QDA!I130*I$125*$R130/1000</f>
        <v>339.07129049539884</v>
      </c>
      <c r="J130" s="521">
        <f>QDA!J130*J$125*$R130/1000</f>
        <v>39.676362406022257</v>
      </c>
      <c r="K130" s="521">
        <f>QDA!K130*K$125*$R130/1000</f>
        <v>0</v>
      </c>
      <c r="L130" s="521">
        <f>QDA!L130*L$125*$R130/1000</f>
        <v>4.3677331209279862</v>
      </c>
      <c r="M130" s="521">
        <f>QDA!M130*M$125*$R130/1000</f>
        <v>0.43276557658622511</v>
      </c>
      <c r="N130" s="521">
        <f>QDA!N130*N$125*$R130/1000</f>
        <v>180.92176864735958</v>
      </c>
      <c r="O130" s="140">
        <f t="shared" si="11"/>
        <v>8842.686926650973</v>
      </c>
      <c r="R130" s="315">
        <f>QD0!P11</f>
        <v>4.60527978501145</v>
      </c>
      <c r="AB130" s="529"/>
    </row>
    <row r="131" spans="1:33">
      <c r="A131" s="126">
        <v>2017</v>
      </c>
      <c r="B131" s="497">
        <v>6</v>
      </c>
      <c r="C131" s="521">
        <f>QDA!C131*C$125*$R131/1000</f>
        <v>2069.7302489060121</v>
      </c>
      <c r="D131" s="521">
        <f>QDA!D131*D$125*$R131/1000</f>
        <v>1717.0433630653838</v>
      </c>
      <c r="E131" s="521">
        <f>QDA!E131*E$125*$R131/1000</f>
        <v>2114.2953744543061</v>
      </c>
      <c r="F131" s="521">
        <f>QDA!F131*F$125*$R131/1000</f>
        <v>84.669665978524051</v>
      </c>
      <c r="G131" s="521">
        <f>QDA!G131*G$125*$R131/1000</f>
        <v>1962.1313224531798</v>
      </c>
      <c r="H131" s="521">
        <f>QDA!H131*H$125*$R131/1000</f>
        <v>719.91735066743934</v>
      </c>
      <c r="I131" s="521">
        <f>QDA!I131*I$125*$R131/1000</f>
        <v>349.09566662574451</v>
      </c>
      <c r="J131" s="521">
        <f>QDA!J131*J$125*$R131/1000</f>
        <v>40.94039175283779</v>
      </c>
      <c r="K131" s="521">
        <f>QDA!K131*K$125*$R131/1000</f>
        <v>0</v>
      </c>
      <c r="L131" s="521">
        <f>QDA!L131*L$125*$R131/1000</f>
        <v>4.6726922101994459</v>
      </c>
      <c r="M131" s="521">
        <f>QDA!M131*M$125*$R131/1000</f>
        <v>0.4629816617841534</v>
      </c>
      <c r="N131" s="521">
        <f>QDA!N131*N$125*$R131/1000</f>
        <v>193.55389068149117</v>
      </c>
      <c r="O131" s="140">
        <f t="shared" si="11"/>
        <v>9256.5129484569006</v>
      </c>
      <c r="R131" s="315">
        <f>QD0!P12</f>
        <v>4.60527978501145</v>
      </c>
    </row>
    <row r="132" spans="1:33">
      <c r="A132" s="126">
        <v>2018</v>
      </c>
      <c r="B132" s="497">
        <v>7</v>
      </c>
      <c r="C132" s="521">
        <f>QDA!C132*C$125*$R132/1000</f>
        <v>2232.0240485080431</v>
      </c>
      <c r="D132" s="521">
        <f>QDA!D132*D$125*$R132/1000</f>
        <v>1832.6940089927953</v>
      </c>
      <c r="E132" s="521">
        <f>QDA!E132*E$125*$R132/1000</f>
        <v>2184.9710307582632</v>
      </c>
      <c r="F132" s="521">
        <f>QDA!F132*F$125*$R132/1000</f>
        <v>86.6853603149642</v>
      </c>
      <c r="G132" s="521">
        <f>QDA!G132*G$125*$R132/1000</f>
        <v>2008.6182318266742</v>
      </c>
      <c r="H132" s="521">
        <f>QDA!H132*H$125*$R132/1000</f>
        <v>738.09391548221311</v>
      </c>
      <c r="I132" s="521">
        <f>QDA!I132*I$125*$R132/1000</f>
        <v>357.40966982526044</v>
      </c>
      <c r="J132" s="521">
        <f>QDA!J132*J$125*$R132/1000</f>
        <v>42.040953422703566</v>
      </c>
      <c r="K132" s="521">
        <f>QDA!K132*K$125*$R132/1000</f>
        <v>0</v>
      </c>
      <c r="L132" s="521">
        <f>QDA!L132*L$125*$R132/1000</f>
        <v>5.0390921183830955</v>
      </c>
      <c r="M132" s="521">
        <f>QDA!M132*M$125*$R132/1000</f>
        <v>0.49928545213399655</v>
      </c>
      <c r="N132" s="521">
        <f>QDA!N132*N$125*$R132/1000</f>
        <v>208.73103580127619</v>
      </c>
      <c r="O132" s="10">
        <f>SUM(C132:N132)+(SUM(C132:N132)*IF('Painel de Controle'!$D$45="Aditivo3",-'Levantamento eixo suspenso ADT3'!$I$16,-'Eixo Suspenso Pleito 6'!$D$17)*$S$24)</f>
        <v>9375.6630648799583</v>
      </c>
      <c r="R132" s="315">
        <f>QD0!P13</f>
        <v>4.6504420533133422</v>
      </c>
      <c r="AB132" s="467">
        <v>0.18710969718392836</v>
      </c>
      <c r="AC132" s="467">
        <v>0.34524828767123289</v>
      </c>
      <c r="AD132" s="467">
        <v>9.7730307076101475E-2</v>
      </c>
      <c r="AE132" s="467">
        <v>0.22149600580973131</v>
      </c>
      <c r="AF132" s="467">
        <v>0.23409801876955161</v>
      </c>
      <c r="AG132" s="467">
        <v>0</v>
      </c>
    </row>
    <row r="133" spans="1:33">
      <c r="A133" s="126">
        <v>2019</v>
      </c>
      <c r="B133" s="497">
        <v>8</v>
      </c>
      <c r="C133" s="521">
        <f>QDA!C133*C$125*$R133/1000</f>
        <v>2500.1782512314812</v>
      </c>
      <c r="D133" s="521">
        <f>QDA!D133*D$125*$R133/1000</f>
        <v>2034.7603247766292</v>
      </c>
      <c r="E133" s="521">
        <f>QDA!E133*E$125*$R133/1000</f>
        <v>2356.7731073426712</v>
      </c>
      <c r="F133" s="521">
        <f>QDA!F133*F$125*$R133/1000</f>
        <v>92.659434222054998</v>
      </c>
      <c r="G133" s="521">
        <f>QDA!G133*G$125*$R133/1000</f>
        <v>2146.9122492129518</v>
      </c>
      <c r="H133" s="521">
        <f>QDA!H133*H$125*$R133/1000</f>
        <v>790.07531065651642</v>
      </c>
      <c r="I133" s="521">
        <f>QDA!I133*I$125*$R133/1000</f>
        <v>382.06231765944557</v>
      </c>
      <c r="J133" s="521">
        <f>QDA!J133*J$125*$R133/1000</f>
        <v>45.071116095907406</v>
      </c>
      <c r="K133" s="521">
        <f>QDA!K133*K$125*$R133/1000</f>
        <v>0</v>
      </c>
      <c r="L133" s="521">
        <f>QDA!L133*L$125*$R133/1000</f>
        <v>5.6444860120367952</v>
      </c>
      <c r="M133" s="521">
        <f>QDA!M133*M$125*$R133/1000</f>
        <v>0.55926934542488493</v>
      </c>
      <c r="N133" s="521">
        <f>QDA!N133*N$125*$R133/1000</f>
        <v>233.8078733588026</v>
      </c>
      <c r="O133" s="10">
        <f>SUM(C133:N133)+SUM(C133:N133)*IF('Painel de Controle'!$D$45="Aditivo3",-'Levantamento eixo suspenso ADT3'!$I$16,-'Eixo Suspenso Pleito 6'!$D$18)</f>
        <v>9753.5631091212144</v>
      </c>
      <c r="R133" s="315">
        <f>QD0!P14</f>
        <v>4.8910911491809559</v>
      </c>
    </row>
    <row r="134" spans="1:33">
      <c r="A134" s="126">
        <v>2020</v>
      </c>
      <c r="B134" s="497">
        <v>9</v>
      </c>
      <c r="C134" s="521">
        <f>QDA!C134*C$125*$R134/1000</f>
        <v>2683.6816539592132</v>
      </c>
      <c r="D134" s="521">
        <f>QDA!D134*D$125*$R134/1000</f>
        <v>2167.4296042335818</v>
      </c>
      <c r="E134" s="521">
        <f>QDA!E134*E$125*$R134/1000</f>
        <v>2446.2871641239635</v>
      </c>
      <c r="F134" s="521">
        <f>QDA!F134*F$125*$R134/1000</f>
        <v>95.338671651321093</v>
      </c>
      <c r="G134" s="521">
        <f>QDA!G134*G$125*$R134/1000</f>
        <v>2208.9660980547333</v>
      </c>
      <c r="H134" s="521">
        <f>QDA!H134*H$125*$R134/1000</f>
        <v>814.07700706094613</v>
      </c>
      <c r="I134" s="521">
        <f>QDA!I134*I$125*$R134/1000</f>
        <v>393.15031657213541</v>
      </c>
      <c r="J134" s="521">
        <f>QDA!J134*J$125*$R134/1000</f>
        <v>46.509721716671272</v>
      </c>
      <c r="K134" s="521">
        <f>QDA!K134*K$125*$R134/1000</f>
        <v>0</v>
      </c>
      <c r="L134" s="521">
        <f>QDA!L134*L$125*$R134/1000</f>
        <v>6.0587694293682022</v>
      </c>
      <c r="M134" s="521">
        <f>QDA!M134*M$125*$R134/1000</f>
        <v>0.60031754983840124</v>
      </c>
      <c r="N134" s="521">
        <f>QDA!N134*N$125*$R134/1000</f>
        <v>250.96846593844845</v>
      </c>
      <c r="O134" s="10">
        <f>SUM(C134:N134)+SUM(C134:N134)*IF('Painel de Controle'!$D$45="Aditivo3",-'Levantamento eixo suspenso ADT3'!$I$16,-'Eixo Suspenso Pleito 6'!$D$19)</f>
        <v>10193.989188691388</v>
      </c>
      <c r="R134" s="315">
        <f>QD0!P15</f>
        <v>4.9375608950411713</v>
      </c>
    </row>
    <row r="135" spans="1:33">
      <c r="A135" s="126">
        <v>2021</v>
      </c>
      <c r="B135" s="497">
        <v>10</v>
      </c>
      <c r="C135" s="521">
        <f>QDA!C135*C$125*$R135/1000</f>
        <v>2848.5405045898929</v>
      </c>
      <c r="D135" s="521">
        <f>QDA!D135*D$125*$R135/1000</f>
        <v>2285.4506707033552</v>
      </c>
      <c r="E135" s="521">
        <f>QDA!E135*E$125*$R135/1000</f>
        <v>2520.8921452050631</v>
      </c>
      <c r="F135" s="521">
        <f>QDA!F135*F$125*$R135/1000</f>
        <v>97.420308968733963</v>
      </c>
      <c r="G135" s="521">
        <f>QDA!G135*G$125*$R135/1000</f>
        <v>2257.2871489237023</v>
      </c>
      <c r="H135" s="521">
        <f>QDA!H135*H$125*$R135/1000</f>
        <v>833.03464399153722</v>
      </c>
      <c r="I135" s="521">
        <f>QDA!I135*I$125*$R135/1000</f>
        <v>401.79481430312296</v>
      </c>
      <c r="J135" s="521">
        <f>QDA!J135*J$125*$R135/1000</f>
        <v>47.661157413803352</v>
      </c>
      <c r="K135" s="521">
        <f>QDA!K135*K$125*$R135/1000</f>
        <v>0</v>
      </c>
      <c r="L135" s="521">
        <f>QDA!L135*L$125*$R135/1000</f>
        <v>6.4309602825151675</v>
      </c>
      <c r="M135" s="521">
        <f>QDA!M135*M$125*$R135/1000</f>
        <v>0.6371951210412965</v>
      </c>
      <c r="N135" s="521">
        <f>QDA!N135*N$125*$R135/1000</f>
        <v>266.38548560548617</v>
      </c>
      <c r="O135" s="10">
        <f>SUM(C135:N135)+SUM(C135:N135)*IF('Painel de Controle'!$D$45="Aditivo3",-'Levantamento eixo suspenso ADT3'!$I$16,-'Eixo Suspenso Pleito 6'!$D$20)</f>
        <v>10637.270365650669</v>
      </c>
      <c r="R135" s="315">
        <f>QD0!P16</f>
        <v>4.9375608950411713</v>
      </c>
    </row>
    <row r="136" spans="1:33">
      <c r="A136" s="126">
        <v>2022</v>
      </c>
      <c r="B136" s="497">
        <v>11</v>
      </c>
      <c r="C136" s="521">
        <f>QDA!C136*C$125*$R136/1000</f>
        <v>3017.9661091395033</v>
      </c>
      <c r="D136" s="521">
        <f>QDA!D136*D$125*$R136/1000</f>
        <v>2407.7441791100259</v>
      </c>
      <c r="E136" s="521">
        <f>QDA!E136*E$125*$R136/1000</f>
        <v>2602.6206040932102</v>
      </c>
      <c r="F136" s="521">
        <f>QDA!F136*F$125*$R136/1000</f>
        <v>99.770692961447793</v>
      </c>
      <c r="G136" s="521">
        <f>QDA!G136*G$125*$R136/1000</f>
        <v>2311.9528401597699</v>
      </c>
      <c r="H136" s="521">
        <f>QDA!H136*H$125*$R136/1000</f>
        <v>854.33644473603545</v>
      </c>
      <c r="I136" s="521">
        <f>QDA!I136*I$125*$R136/1000</f>
        <v>411.56875657892363</v>
      </c>
      <c r="J136" s="521">
        <f>QDA!J136*J$125*$R136/1000</f>
        <v>48.946873487136621</v>
      </c>
      <c r="K136" s="521">
        <f>QDA!K136*K$125*$R136/1000</f>
        <v>0</v>
      </c>
      <c r="L136" s="521">
        <f>QDA!L136*L$125*$R136/1000</f>
        <v>6.8134611919963648</v>
      </c>
      <c r="M136" s="521">
        <f>QDA!M136*M$125*$R136/1000</f>
        <v>0.67509423759748755</v>
      </c>
      <c r="N136" s="521">
        <f>QDA!N136*N$125*$R136/1000</f>
        <v>282.22957203122888</v>
      </c>
      <c r="O136" s="10">
        <f>SUM(C136:N136)+SUM(C136:N136)*IF('Painel de Controle'!$D$45="Aditivo3",-'Levantamento eixo suspenso ADT3'!$I$16,-'Eixo Suspenso Pleito 6'!$D$20)</f>
        <v>11077.907613351161</v>
      </c>
      <c r="R136" s="315">
        <f>QD0!P17</f>
        <v>4.9375608950411713</v>
      </c>
    </row>
    <row r="137" spans="1:33">
      <c r="A137" s="126">
        <v>2023</v>
      </c>
      <c r="B137" s="497">
        <v>12</v>
      </c>
      <c r="C137" s="521">
        <f>QDA!C137*C$125*$R137/1000</f>
        <v>3191.3699040910824</v>
      </c>
      <c r="D137" s="521">
        <f>QDA!D137*D$125*$R137/1000</f>
        <v>2533.8616476310508</v>
      </c>
      <c r="E137" s="521">
        <f>QDA!E137*E$125*$R137/1000</f>
        <v>2691.0715546082783</v>
      </c>
      <c r="F137" s="521">
        <f>QDA!F137*F$125*$R137/1000</f>
        <v>102.37445800644642</v>
      </c>
      <c r="G137" s="521">
        <f>QDA!G137*G$125*$R137/1000</f>
        <v>2372.6105809647338</v>
      </c>
      <c r="H137" s="521">
        <f>QDA!H137*H$125*$R137/1000</f>
        <v>877.85191417325359</v>
      </c>
      <c r="I137" s="521">
        <f>QDA!I137*I$125*$R137/1000</f>
        <v>422.40936816336966</v>
      </c>
      <c r="J137" s="521">
        <f>QDA!J137*J$125*$R137/1000</f>
        <v>50.359381588890052</v>
      </c>
      <c r="K137" s="521">
        <f>QDA!K137*K$125*$R137/1000</f>
        <v>0</v>
      </c>
      <c r="L137" s="521">
        <f>QDA!L137*L$125*$R137/1000</f>
        <v>7.2049433971376109</v>
      </c>
      <c r="M137" s="521">
        <f>QDA!M137*M$125*$R137/1000</f>
        <v>0.7138832426810221</v>
      </c>
      <c r="N137" s="521">
        <f>QDA!N137*N$125*$R137/1000</f>
        <v>298.44568482638851</v>
      </c>
      <c r="O137" s="10">
        <f>SUM(C137:N137)+SUM(C137:N137)*IF('Painel de Controle'!$D$45="Aditivo3",-'Levantamento eixo suspenso ADT3'!$I$16,-'Eixo Suspenso Pleito 6'!$D$20)</f>
        <v>11541.132816519672</v>
      </c>
      <c r="R137" s="315">
        <f>QD0!P18</f>
        <v>4.9375608950411713</v>
      </c>
    </row>
    <row r="138" spans="1:33">
      <c r="A138" s="126">
        <v>2024</v>
      </c>
      <c r="B138" s="497">
        <v>13</v>
      </c>
      <c r="C138" s="521">
        <f>QDA!C138*C$125*$R138/1000</f>
        <v>3369.7780825687232</v>
      </c>
      <c r="D138" s="521">
        <f>QDA!D138*D$125*$R138/1000</f>
        <v>2664.6298782858016</v>
      </c>
      <c r="E138" s="521">
        <f>QDA!E138*E$125*$R138/1000</f>
        <v>2787.1714461033398</v>
      </c>
      <c r="F138" s="521">
        <f>QDA!F138*F$125*$R138/1000</f>
        <v>105.26656402038633</v>
      </c>
      <c r="G138" s="521">
        <f>QDA!G138*G$125*$R138/1000</f>
        <v>2440.0734821537685</v>
      </c>
      <c r="H138" s="521">
        <f>QDA!H138*H$125*$R138/1000</f>
        <v>903.88214344254197</v>
      </c>
      <c r="I138" s="521">
        <f>QDA!I138*I$125*$R138/1000</f>
        <v>434.46142125168024</v>
      </c>
      <c r="J138" s="521">
        <f>QDA!J138*J$125*$R138/1000</f>
        <v>51.915968798483647</v>
      </c>
      <c r="K138" s="521">
        <f>QDA!K138*K$125*$R138/1000</f>
        <v>0</v>
      </c>
      <c r="L138" s="521">
        <f>QDA!L138*L$125*$R138/1000</f>
        <v>7.6077236658460512</v>
      </c>
      <c r="M138" s="521">
        <f>QDA!M138*M$125*$R138/1000</f>
        <v>0.75379168726751899</v>
      </c>
      <c r="N138" s="521">
        <f>QDA!N138*N$125*$R138/1000</f>
        <v>315.12978996134387</v>
      </c>
      <c r="O138" s="10">
        <f>SUM(C138:N138)+SUM(C138:N138)*IF('Painel de Controle'!$D$45="Aditivo3",-'Levantamento eixo suspenso ADT3'!$I$16,-'Eixo Suspenso Pleito 6'!$D$20)</f>
        <v>12030.798924296318</v>
      </c>
      <c r="R138" s="315">
        <f>QD0!P19</f>
        <v>4.9399691367167016</v>
      </c>
    </row>
    <row r="139" spans="1:33">
      <c r="A139" s="126">
        <v>2025</v>
      </c>
      <c r="B139" s="497">
        <v>14</v>
      </c>
      <c r="C139" s="521">
        <f>QDA!C139*C$125*$R139/1000</f>
        <v>3549.755138074072</v>
      </c>
      <c r="D139" s="521">
        <f>QDA!D139*D$125*$R139/1000</f>
        <v>2797.3391134458116</v>
      </c>
      <c r="E139" s="521">
        <f>QDA!E139*E$125*$R139/1000</f>
        <v>2888.1137691282274</v>
      </c>
      <c r="F139" s="521">
        <f>QDA!F139*F$125*$R139/1000</f>
        <v>108.34059997292432</v>
      </c>
      <c r="G139" s="521">
        <f>QDA!G139*G$125*$R139/1000</f>
        <v>2511.8773620032321</v>
      </c>
      <c r="H139" s="521">
        <f>QDA!H139*H$125*$R139/1000</f>
        <v>931.51478019661022</v>
      </c>
      <c r="I139" s="521">
        <f>QDA!I139*I$125*$R139/1000</f>
        <v>447.28617964176925</v>
      </c>
      <c r="J139" s="521">
        <f>QDA!J139*J$125*$R139/1000</f>
        <v>53.564259869316253</v>
      </c>
      <c r="K139" s="521">
        <f>QDA!K139*K$125*$R139/1000</f>
        <v>0</v>
      </c>
      <c r="L139" s="521">
        <f>QDA!L139*L$125*$R139/1000</f>
        <v>8.0140458837867623</v>
      </c>
      <c r="M139" s="521">
        <f>QDA!M139*M$125*$R139/1000</f>
        <v>0.79405107676280628</v>
      </c>
      <c r="N139" s="521">
        <f>QDA!N139*N$125*$R139/1000</f>
        <v>331.96061095595007</v>
      </c>
      <c r="O139" s="10">
        <f>SUM(C139:N139)+SUM(C139:N139)*IF('Painel de Controle'!$D$45="Aditivo3",-'Levantamento eixo suspenso ADT3'!$I$16,-'Eixo Suspenso Pleito 6'!$D$20)</f>
        <v>12534.714219420783</v>
      </c>
      <c r="R139" s="315">
        <f>QD0!P20</f>
        <v>4.9404507850518078</v>
      </c>
    </row>
    <row r="140" spans="1:33">
      <c r="A140" s="126">
        <v>2026</v>
      </c>
      <c r="B140" s="497">
        <v>15</v>
      </c>
      <c r="C140" s="521">
        <f>QDA!C140*C$125*$R140/1000</f>
        <v>3589.6509978283666</v>
      </c>
      <c r="D140" s="521">
        <f>QDA!D140*D$125*$R140/1000</f>
        <v>2820.7002676251955</v>
      </c>
      <c r="E140" s="521">
        <f>QDA!E140*E$125*$R140/1000</f>
        <v>2880.3275896733721</v>
      </c>
      <c r="F140" s="521">
        <f>QDA!F140*F$125*$R140/1000</f>
        <v>107.36395023472495</v>
      </c>
      <c r="G140" s="521">
        <f>QDA!G140*G$125*$R140/1000</f>
        <v>2489.8650706459848</v>
      </c>
      <c r="H140" s="521">
        <f>QDA!H140*H$125*$R140/1000</f>
        <v>924.30992857165484</v>
      </c>
      <c r="I140" s="521">
        <f>QDA!I140*I$125*$R140/1000</f>
        <v>443.40344848380317</v>
      </c>
      <c r="J140" s="521">
        <f>QDA!J140*J$125*$R140/1000</f>
        <v>53.206578084878295</v>
      </c>
      <c r="K140" s="521">
        <f>QDA!K140*K$125*$R140/1000</f>
        <v>0</v>
      </c>
      <c r="L140" s="521">
        <f>QDA!L140*L$125*$R140/1000</f>
        <v>8.1041161106637372</v>
      </c>
      <c r="M140" s="521">
        <f>QDA!M140*M$125*$R140/1000</f>
        <v>0.80297545299836348</v>
      </c>
      <c r="N140" s="521">
        <f>QDA!N140*N$125*$R140/1000</f>
        <v>335.69153138947439</v>
      </c>
      <c r="O140" s="10">
        <f>SUM(C140:N140)+SUM(C140:N140)*IF('Painel de Controle'!$D$45="Aditivo3",-'Levantamento eixo suspenso ADT3'!$I$16,-'Eixo Suspenso Pleito 6'!$D$20)</f>
        <v>12557.58494258379</v>
      </c>
      <c r="R140" s="315">
        <f>QD0!P21</f>
        <v>4.7525160660998287</v>
      </c>
    </row>
    <row r="141" spans="1:33">
      <c r="A141" s="126">
        <v>2027</v>
      </c>
      <c r="B141" s="497">
        <v>16</v>
      </c>
      <c r="C141" s="521">
        <f>QDA!C141*C$125*$R141/1000</f>
        <v>3766.106169328139</v>
      </c>
      <c r="D141" s="521">
        <f>QDA!D141*D$125*$R141/1000</f>
        <v>2952.3767137297368</v>
      </c>
      <c r="E141" s="521">
        <f>QDA!E141*E$125*$R141/1000</f>
        <v>2987.1963124131462</v>
      </c>
      <c r="F141" s="521">
        <f>QDA!F141*F$125*$R141/1000</f>
        <v>110.68946111547525</v>
      </c>
      <c r="G141" s="521">
        <f>QDA!G141*G$125*$R141/1000</f>
        <v>2567.7181256368922</v>
      </c>
      <c r="H141" s="521">
        <f>QDA!H141*H$125*$R141/1000</f>
        <v>954.13103035291363</v>
      </c>
      <c r="I141" s="521">
        <f>QDA!I141*I$125*$R141/1000</f>
        <v>457.30325908450004</v>
      </c>
      <c r="J141" s="521">
        <f>QDA!J141*J$125*$R141/1000</f>
        <v>54.977471341783968</v>
      </c>
      <c r="K141" s="521">
        <f>QDA!K141*K$125*$R141/1000</f>
        <v>0</v>
      </c>
      <c r="L141" s="521">
        <f>QDA!L141*L$125*$R141/1000</f>
        <v>8.5024872055212466</v>
      </c>
      <c r="M141" s="521">
        <f>QDA!M141*M$125*$R141/1000</f>
        <v>0.84244702596037346</v>
      </c>
      <c r="N141" s="521">
        <f>QDA!N141*N$125*$R141/1000</f>
        <v>352.19299818337345</v>
      </c>
      <c r="O141" s="10">
        <f>SUM(C141:N141)+SUM(C141:N141)*IF('Painel de Controle'!$D$45="Aditivo3",-'Levantamento eixo suspenso ADT3'!$I$16,-'Eixo Suspenso Pleito 6'!$D$20)</f>
        <v>13071.360207425914</v>
      </c>
      <c r="R141" s="315">
        <f>QD0!P22</f>
        <v>4.7525160660998287</v>
      </c>
    </row>
    <row r="142" spans="1:33">
      <c r="A142" s="126">
        <v>2028</v>
      </c>
      <c r="B142" s="497">
        <v>17</v>
      </c>
      <c r="C142" s="521">
        <f>QDA!C142*C$125*$R142/1000</f>
        <v>3943.719332280999</v>
      </c>
      <c r="D142" s="521">
        <f>QDA!D142*D$125*$R142/1000</f>
        <v>3085.6699395932765</v>
      </c>
      <c r="E142" s="521">
        <f>QDA!E142*E$125*$R142/1000</f>
        <v>3098.5703596373664</v>
      </c>
      <c r="F142" s="521">
        <f>QDA!F142*F$125*$R142/1000</f>
        <v>114.18492486047424</v>
      </c>
      <c r="G142" s="521">
        <f>QDA!G142*G$125*$R142/1000</f>
        <v>2649.6323923793602</v>
      </c>
      <c r="H142" s="521">
        <f>QDA!H142*H$125*$R142/1000</f>
        <v>985.44993710240419</v>
      </c>
      <c r="I142" s="521">
        <f>QDA!I142*I$125*$R142/1000</f>
        <v>471.92592443057629</v>
      </c>
      <c r="J142" s="521">
        <f>QDA!J142*J$125*$R142/1000</f>
        <v>56.834003200670445</v>
      </c>
      <c r="K142" s="521">
        <f>QDA!K142*K$125*$R142/1000</f>
        <v>0</v>
      </c>
      <c r="L142" s="521">
        <f>QDA!L142*L$125*$R142/1000</f>
        <v>8.9034726206000396</v>
      </c>
      <c r="M142" s="521">
        <f>QDA!M142*M$125*$R142/1000</f>
        <v>0.88217763210197997</v>
      </c>
      <c r="N142" s="521">
        <f>QDA!N142*N$125*$R142/1000</f>
        <v>368.80275626365574</v>
      </c>
      <c r="O142" s="10">
        <f>SUM(C142:N142)+SUM(C142:N142)*IF('Painel de Controle'!$D$45="Aditivo3",-'Levantamento eixo suspenso ADT3'!$I$16,-'Eixo Suspenso Pleito 6'!$D$20)</f>
        <v>13597.946258349039</v>
      </c>
      <c r="R142" s="315">
        <f>QD0!P23</f>
        <v>4.7525160660998287</v>
      </c>
    </row>
    <row r="143" spans="1:33">
      <c r="A143" s="126">
        <v>2029</v>
      </c>
      <c r="B143" s="497">
        <v>18</v>
      </c>
      <c r="C143" s="521">
        <f>QDA!C143*C$125*$R143/1000</f>
        <v>4122.4009045615803</v>
      </c>
      <c r="D143" s="521">
        <f>QDA!D143*D$125*$R143/1000</f>
        <v>3220.5103862716187</v>
      </c>
      <c r="E143" s="521">
        <f>QDA!E143*E$125*$R143/1000</f>
        <v>3214.3828526942862</v>
      </c>
      <c r="F143" s="521">
        <f>QDA!F143*F$125*$R143/1000</f>
        <v>117.84700780099375</v>
      </c>
      <c r="G143" s="521">
        <f>QDA!G143*G$125*$R143/1000</f>
        <v>2735.5332318974761</v>
      </c>
      <c r="H143" s="521">
        <f>QDA!H143*H$125*$R143/1000</f>
        <v>1018.2400161483365</v>
      </c>
      <c r="I143" s="521">
        <f>QDA!I143*I$125*$R143/1000</f>
        <v>487.25819404994218</v>
      </c>
      <c r="J143" s="521">
        <f>QDA!J143*J$125*$R143/1000</f>
        <v>58.774704061921675</v>
      </c>
      <c r="K143" s="521">
        <f>QDA!K143*K$125*$R143/1000</f>
        <v>0</v>
      </c>
      <c r="L143" s="521">
        <f>QDA!L143*L$125*$R143/1000</f>
        <v>9.3068701122987658</v>
      </c>
      <c r="M143" s="521">
        <f>QDA!M143*M$125*$R143/1000</f>
        <v>0.92214723263731335</v>
      </c>
      <c r="N143" s="521">
        <f>QDA!N143*N$125*$R143/1000</f>
        <v>385.51242822514581</v>
      </c>
      <c r="O143" s="10">
        <f>SUM(C143:N143)+SUM(C143:N143)*IF('Painel de Controle'!$D$45="Aditivo3",-'Levantamento eixo suspenso ADT3'!$I$16,-'Eixo Suspenso Pleito 6'!$D$20)</f>
        <v>14137.017558619329</v>
      </c>
      <c r="R143" s="315">
        <f>QD0!P24</f>
        <v>4.7525160660998287</v>
      </c>
    </row>
    <row r="144" spans="1:33">
      <c r="A144" s="126">
        <v>2030</v>
      </c>
      <c r="B144" s="497">
        <v>19</v>
      </c>
      <c r="C144" s="521">
        <f>QDA!C144*C$125*$R144/1000</f>
        <v>4302.1150403280189</v>
      </c>
      <c r="D144" s="521">
        <f>QDA!D144*D$125*$R144/1000</f>
        <v>3356.8724163702509</v>
      </c>
      <c r="E144" s="521">
        <f>QDA!E144*E$125*$R144/1000</f>
        <v>3334.6187195295183</v>
      </c>
      <c r="F144" s="521">
        <f>QDA!F144*F$125*$R144/1000</f>
        <v>121.67419760993597</v>
      </c>
      <c r="G144" s="521">
        <f>QDA!G144*G$125*$R144/1000</f>
        <v>2825.3888752557359</v>
      </c>
      <c r="H144" s="521">
        <f>QDA!H144*H$125*$R144/1000</f>
        <v>1052.490673552277</v>
      </c>
      <c r="I144" s="521">
        <f>QDA!I144*I$125*$R144/1000</f>
        <v>503.29445669811361</v>
      </c>
      <c r="J144" s="521">
        <f>QDA!J144*J$125*$R144/1000</f>
        <v>60.79903489877541</v>
      </c>
      <c r="K144" s="521">
        <f>QDA!K144*K$125*$R144/1000</f>
        <v>0</v>
      </c>
      <c r="L144" s="521">
        <f>QDA!L144*L$125*$R144/1000</f>
        <v>9.7125987538463399</v>
      </c>
      <c r="M144" s="521">
        <f>QDA!M144*M$125*$R144/1000</f>
        <v>0.96234780914588347</v>
      </c>
      <c r="N144" s="521">
        <f>QDA!N144*N$125*$R144/1000</f>
        <v>402.31866189083325</v>
      </c>
      <c r="O144" s="10">
        <f>SUM(C144:N144)+SUM(C144:N144)*IF('Painel de Controle'!$D$45="Aditivo3",-'Levantamento eixo suspenso ADT3'!$I$16,-'Eixo Suspenso Pleito 6'!$D$20)</f>
        <v>14688.454522074746</v>
      </c>
      <c r="R144" s="315">
        <f>QD0!P25</f>
        <v>4.7525160660998287</v>
      </c>
    </row>
    <row r="145" spans="1:18">
      <c r="A145" s="126">
        <v>2031</v>
      </c>
      <c r="B145" s="497">
        <v>20</v>
      </c>
      <c r="C145" s="521">
        <f>QDA!C145*C$125*$R145/1000</f>
        <v>4482.6945883798662</v>
      </c>
      <c r="D145" s="521">
        <f>QDA!D145*D$125*$R145/1000</f>
        <v>3496.1704573033085</v>
      </c>
      <c r="E145" s="521">
        <f>QDA!E145*E$125*$R145/1000</f>
        <v>3466.9024024167097</v>
      </c>
      <c r="F145" s="521">
        <f>QDA!F145*F$125*$R145/1000</f>
        <v>126.02169874953189</v>
      </c>
      <c r="G145" s="521">
        <f>QDA!G145*G$125*$R145/1000</f>
        <v>2927.4990793272514</v>
      </c>
      <c r="H145" s="521">
        <f>QDA!H145*H$125*$R145/1000</f>
        <v>1091.1756554985291</v>
      </c>
      <c r="I145" s="521">
        <f>QDA!I145*I$125*$R145/1000</f>
        <v>521.50861927577432</v>
      </c>
      <c r="J145" s="521">
        <f>QDA!J145*J$125*$R145/1000</f>
        <v>63.071838803635444</v>
      </c>
      <c r="K145" s="521">
        <f>QDA!K145*K$125*$R145/1000</f>
        <v>0</v>
      </c>
      <c r="L145" s="521">
        <f>QDA!L145*L$125*$R145/1000</f>
        <v>10.120281179104033</v>
      </c>
      <c r="M145" s="521">
        <f>QDA!M145*M$125*$R145/1000</f>
        <v>1.002741971276657</v>
      </c>
      <c r="N145" s="521">
        <f>QDA!N145*N$125*$R145/1000</f>
        <v>419.2058258685617</v>
      </c>
      <c r="O145" s="10">
        <f>SUM(C145:N145)+SUM(C145:N145)*IF('Painel de Controle'!$D$45="Aditivo3",-'Levantamento eixo suspenso ADT3'!$I$16,-'Eixo Suspenso Pleito 6'!$D$20)</f>
        <v>15272.604647801983</v>
      </c>
      <c r="R145" s="315">
        <f>QD0!P26</f>
        <v>4.7525160660998287</v>
      </c>
    </row>
    <row r="146" spans="1:18">
      <c r="A146" s="126">
        <v>2032</v>
      </c>
      <c r="B146" s="497">
        <v>21</v>
      </c>
      <c r="C146" s="521">
        <f>QDA!C146*C$125*$R146/1000</f>
        <v>4663.8075520822194</v>
      </c>
      <c r="D146" s="521">
        <f>QDA!D146*D$125*$R146/1000</f>
        <v>3639.6767049703717</v>
      </c>
      <c r="E146" s="521">
        <f>QDA!E146*E$125*$R146/1000</f>
        <v>3618.6619587764244</v>
      </c>
      <c r="F146" s="521">
        <f>QDA!F146*F$125*$R146/1000</f>
        <v>131.2372187896861</v>
      </c>
      <c r="G146" s="521">
        <f>QDA!G146*G$125*$R146/1000</f>
        <v>3049.9880097212135</v>
      </c>
      <c r="H146" s="521">
        <f>QDA!H146*H$125*$R146/1000</f>
        <v>1137.2038813332038</v>
      </c>
      <c r="I146" s="521">
        <f>QDA!I146*I$125*$R146/1000</f>
        <v>543.34333260606513</v>
      </c>
      <c r="J146" s="521">
        <f>QDA!J146*J$125*$R146/1000</f>
        <v>65.754248316408862</v>
      </c>
      <c r="K146" s="521">
        <f>QDA!K146*K$125*$R146/1000</f>
        <v>0</v>
      </c>
      <c r="L146" s="521">
        <f>QDA!L146*L$125*$R146/1000</f>
        <v>10.529167861368757</v>
      </c>
      <c r="M146" s="521">
        <f>QDA!M146*M$125*$R146/1000</f>
        <v>1.0432554541084851</v>
      </c>
      <c r="N146" s="521">
        <f>QDA!N146*N$125*$R146/1000</f>
        <v>436.14287300114091</v>
      </c>
      <c r="O146" s="10">
        <f>SUM(C146:N146)+SUM(C146:N146)*IF('Painel de Controle'!$D$45="Aditivo3",-'Levantamento eixo suspenso ADT3'!$I$16,-'Eixo Suspenso Pleito 6'!$D$20)</f>
        <v>15909.077649711282</v>
      </c>
      <c r="R146" s="315">
        <f>QD0!P27</f>
        <v>4.7525160660998287</v>
      </c>
    </row>
    <row r="147" spans="1:18">
      <c r="A147" s="126">
        <v>2033</v>
      </c>
      <c r="B147" s="497">
        <v>22</v>
      </c>
      <c r="C147" s="521">
        <f>QDA!C147*C$125*$R147/1000</f>
        <v>4845.0776438156809</v>
      </c>
      <c r="D147" s="521">
        <f>QDA!D147*D$125*$R147/1000</f>
        <v>3783.7984851311712</v>
      </c>
      <c r="E147" s="521">
        <f>QDA!E147*E$125*$R147/1000</f>
        <v>3773.0490277190629</v>
      </c>
      <c r="F147" s="521">
        <f>QDA!F147*F$125*$R147/1000</f>
        <v>136.53926875235405</v>
      </c>
      <c r="G147" s="521">
        <f>QDA!G147*G$125*$R147/1000</f>
        <v>3174.6055398294561</v>
      </c>
      <c r="H147" s="521">
        <f>QDA!H147*H$125*$R147/1000</f>
        <v>1184.0319808221375</v>
      </c>
      <c r="I147" s="521">
        <f>QDA!I147*I$125*$R147/1000</f>
        <v>565.55748728184517</v>
      </c>
      <c r="J147" s="521">
        <f>QDA!J147*J$125*$R147/1000</f>
        <v>68.483272458799064</v>
      </c>
      <c r="K147" s="521">
        <f>QDA!K147*K$125*$R147/1000</f>
        <v>0</v>
      </c>
      <c r="L147" s="521">
        <f>QDA!L147*L$125*$R147/1000</f>
        <v>10.938409281129998</v>
      </c>
      <c r="M147" s="521">
        <f>QDA!M147*M$125*$R147/1000</f>
        <v>1.0838040851906676</v>
      </c>
      <c r="N147" s="521">
        <f>QDA!N147*N$125*$R147/1000</f>
        <v>453.09461419434587</v>
      </c>
      <c r="O147" s="10">
        <f>SUM(C147:N147)+SUM(C147:N147)*IF('Painel de Controle'!$D$45="Aditivo3",-'Levantamento eixo suspenso ADT3'!$I$16,-'Eixo Suspenso Pleito 6'!$D$20)</f>
        <v>16551.856671202906</v>
      </c>
      <c r="R147" s="315">
        <f>QD0!P28</f>
        <v>4.7525160660998287</v>
      </c>
    </row>
    <row r="148" spans="1:18">
      <c r="A148" s="126">
        <v>2034</v>
      </c>
      <c r="B148" s="497">
        <v>23</v>
      </c>
      <c r="C148" s="521">
        <f>QDA!C148*C$125*$R148/1000</f>
        <v>5026.1656387791445</v>
      </c>
      <c r="D148" s="521">
        <f>QDA!D148*D$125*$R148/1000</f>
        <v>3928.2841245133545</v>
      </c>
      <c r="E148" s="521">
        <f>QDA!E148*E$125*$R148/1000</f>
        <v>3929.866352332559</v>
      </c>
      <c r="F148" s="521">
        <f>QDA!F148*F$125*$R148/1000</f>
        <v>141.92093811995193</v>
      </c>
      <c r="G148" s="521">
        <f>QDA!G148*G$125*$R148/1000</f>
        <v>3301.1927329180558</v>
      </c>
      <c r="H148" s="521">
        <f>QDA!H148*H$125*$R148/1000</f>
        <v>1231.6002295815929</v>
      </c>
      <c r="I148" s="521">
        <f>QDA!I148*I$125*$R148/1000</f>
        <v>588.12275145294939</v>
      </c>
      <c r="J148" s="521">
        <f>QDA!J148*J$125*$R148/1000</f>
        <v>71.255430643575608</v>
      </c>
      <c r="K148" s="521">
        <f>QDA!K148*K$125*$R148/1000</f>
        <v>0</v>
      </c>
      <c r="L148" s="521">
        <f>QDA!L148*L$125*$R148/1000</f>
        <v>11.34723959313499</v>
      </c>
      <c r="M148" s="521">
        <f>QDA!M148*M$125*$R148/1000</f>
        <v>1.124311982720628</v>
      </c>
      <c r="N148" s="521">
        <f>QDA!N148*N$125*$R148/1000</f>
        <v>470.02932633831495</v>
      </c>
      <c r="O148" s="10">
        <f>SUM(C148:N148)+SUM(C148:N148)*IF('Painel de Controle'!$D$45="Aditivo3",-'Levantamento eixo suspenso ADT3'!$I$16,-'Eixo Suspenso Pleito 6'!$D$20)</f>
        <v>17199.95013838257</v>
      </c>
      <c r="R148" s="315">
        <f>QD0!P29</f>
        <v>4.7525160660998287</v>
      </c>
    </row>
    <row r="149" spans="1:18">
      <c r="A149" s="126">
        <v>2035</v>
      </c>
      <c r="B149" s="497">
        <v>24</v>
      </c>
      <c r="C149" s="521">
        <f>QDA!C149*C$125*$R149/1000</f>
        <v>5206.6859554862576</v>
      </c>
      <c r="D149" s="521">
        <f>QDA!D149*D$125*$R149/1000</f>
        <v>4072.8438377074908</v>
      </c>
      <c r="E149" s="521">
        <f>QDA!E149*E$125*$R149/1000</f>
        <v>4088.8708123886781</v>
      </c>
      <c r="F149" s="521">
        <f>QDA!F149*F$125*$R149/1000</f>
        <v>147.37375079332423</v>
      </c>
      <c r="G149" s="521">
        <f>QDA!G149*G$125*$R149/1000</f>
        <v>3429.5536126933266</v>
      </c>
      <c r="H149" s="521">
        <f>QDA!H149*H$125*$R149/1000</f>
        <v>1279.8349847029831</v>
      </c>
      <c r="I149" s="521">
        <f>QDA!I149*I$125*$R149/1000</f>
        <v>611.00419064669961</v>
      </c>
      <c r="J149" s="521">
        <f>QDA!J149*J$125*$R149/1000</f>
        <v>74.066431146802501</v>
      </c>
      <c r="K149" s="521">
        <f>QDA!K149*K$125*$R149/1000</f>
        <v>0</v>
      </c>
      <c r="L149" s="521">
        <f>QDA!L149*L$125*$R149/1000</f>
        <v>11.754788295728444</v>
      </c>
      <c r="M149" s="521">
        <f>QDA!M149*M$125*$R149/1000</f>
        <v>1.1646928952859432</v>
      </c>
      <c r="N149" s="521">
        <f>QDA!N149*N$125*$R149/1000</f>
        <v>486.910951209085</v>
      </c>
      <c r="O149" s="10">
        <f>SUM(C149:N149)+SUM(C149:N149)*IF('Painel de Controle'!$D$45="Aditivo3",-'Levantamento eixo suspenso ADT3'!$I$16,-'Eixo Suspenso Pleito 6'!$D$20)</f>
        <v>17852.187386105066</v>
      </c>
      <c r="R149" s="315">
        <f>QD0!P30</f>
        <v>4.7525160660998287</v>
      </c>
    </row>
    <row r="150" spans="1:18">
      <c r="A150" s="126">
        <v>2036</v>
      </c>
      <c r="B150" s="497">
        <v>25</v>
      </c>
      <c r="C150" s="521">
        <f>QDA!C150*C$125*$R150/1000</f>
        <v>5386.2261264339304</v>
      </c>
      <c r="D150" s="521">
        <f>QDA!D150*D$125*$R150/1000</f>
        <v>4217.1647301028415</v>
      </c>
      <c r="E150" s="521">
        <f>QDA!E150*E$125*$R150/1000</f>
        <v>4249.7875801575146</v>
      </c>
      <c r="F150" s="521">
        <f>QDA!F150*F$125*$R150/1000</f>
        <v>152.88815484586286</v>
      </c>
      <c r="G150" s="521">
        <f>QDA!G150*G$125*$R150/1000</f>
        <v>3559.466582006175</v>
      </c>
      <c r="H150" s="521">
        <f>QDA!H150*H$125*$R150/1000</f>
        <v>1328.6529756116511</v>
      </c>
      <c r="I150" s="521">
        <f>QDA!I150*I$125*$R150/1000</f>
        <v>634.16230325091192</v>
      </c>
      <c r="J150" s="521">
        <f>QDA!J150*J$125*$R150/1000</f>
        <v>76.91142116832205</v>
      </c>
      <c r="K150" s="521">
        <f>QDA!K150*K$125*$R150/1000</f>
        <v>0</v>
      </c>
      <c r="L150" s="521">
        <f>QDA!L150*L$125*$R150/1000</f>
        <v>12.160124188484756</v>
      </c>
      <c r="M150" s="521">
        <f>QDA!M150*M$125*$R150/1000</f>
        <v>1.2048545572930096</v>
      </c>
      <c r="N150" s="521">
        <f>QDA!N150*N$125*$R150/1000</f>
        <v>503.70091629700403</v>
      </c>
      <c r="O150" s="10">
        <f>SUM(C150:N150)+SUM(C150:N150)*IF('Painel de Controle'!$D$45="Aditivo3",-'Levantamento eixo suspenso ADT3'!$I$16,-'Eixo Suspenso Pleito 6'!$D$20)</f>
        <v>18507.282104697435</v>
      </c>
      <c r="R150" s="315">
        <f>QD0!P31</f>
        <v>4.7525160660998287</v>
      </c>
    </row>
    <row r="151" spans="1:18">
      <c r="A151" s="126">
        <v>2037</v>
      </c>
      <c r="B151" s="497">
        <v>26</v>
      </c>
      <c r="C151" s="521">
        <f>QDA!C151*C$125*$R151/1000</f>
        <v>5564.3217180385864</v>
      </c>
      <c r="D151" s="521">
        <f>QDA!D151*D$125*$R151/1000</f>
        <v>4360.8901222141485</v>
      </c>
      <c r="E151" s="521">
        <f>QDA!E151*E$125*$R151/1000</f>
        <v>4412.2850220925238</v>
      </c>
      <c r="F151" s="521">
        <f>QDA!F151*F$125*$R151/1000</f>
        <v>158.45266613693533</v>
      </c>
      <c r="G151" s="521">
        <f>QDA!G151*G$125*$R151/1000</f>
        <v>3690.6641525023151</v>
      </c>
      <c r="H151" s="521">
        <f>QDA!H151*H$125*$R151/1000</f>
        <v>1377.9536869847882</v>
      </c>
      <c r="I151" s="521">
        <f>QDA!I151*I$125*$R151/1000</f>
        <v>657.54940714838403</v>
      </c>
      <c r="J151" s="521">
        <f>QDA!J151*J$125*$R151/1000</f>
        <v>79.784542927322676</v>
      </c>
      <c r="K151" s="521">
        <f>QDA!K151*K$125*$R151/1000</f>
        <v>0</v>
      </c>
      <c r="L151" s="521">
        <f>QDA!L151*L$125*$R151/1000</f>
        <v>12.562198750617574</v>
      </c>
      <c r="M151" s="521">
        <f>QDA!M151*M$125*$R151/1000</f>
        <v>1.2446930787627217</v>
      </c>
      <c r="N151" s="521">
        <f>QDA!N151*N$125*$R151/1000</f>
        <v>520.35578940741209</v>
      </c>
      <c r="O151" s="10">
        <f>SUM(C151:N151)+SUM(C151:N151)*IF('Painel de Controle'!$D$45="Aditivo3",-'Levantamento eixo suspenso ADT3'!$I$16,-'Eixo Suspenso Pleito 6'!$D$20)</f>
        <v>19163.734789921578</v>
      </c>
      <c r="R151" s="315">
        <f>QD0!P32</f>
        <v>4.7525160660998287</v>
      </c>
    </row>
    <row r="152" spans="1:18">
      <c r="A152" s="126">
        <v>2038</v>
      </c>
      <c r="B152" s="497">
        <v>27</v>
      </c>
      <c r="C152" s="521">
        <f>QDA!C152*C$125*$R152/1000</f>
        <v>5740.4471792952818</v>
      </c>
      <c r="D152" s="521">
        <f>QDA!D152*D$125*$R152/1000</f>
        <v>4503.6113984457297</v>
      </c>
      <c r="E152" s="521">
        <f>QDA!E152*E$125*$R152/1000</f>
        <v>4575.962455566184</v>
      </c>
      <c r="F152" s="521">
        <f>QDA!F152*F$125*$R152/1000</f>
        <v>164.05345445801382</v>
      </c>
      <c r="G152" s="521">
        <f>QDA!G152*G$125*$R152/1000</f>
        <v>3822.8230483537895</v>
      </c>
      <c r="H152" s="521">
        <f>QDA!H152*H$125*$R152/1000</f>
        <v>1427.615639985341</v>
      </c>
      <c r="I152" s="521">
        <f>QDA!I152*I$125*$R152/1000</f>
        <v>681.10787562127825</v>
      </c>
      <c r="J152" s="521">
        <f>QDA!J152*J$125*$R152/1000</f>
        <v>82.67871694198206</v>
      </c>
      <c r="K152" s="521">
        <f>QDA!K152*K$125*$R152/1000</f>
        <v>0</v>
      </c>
      <c r="L152" s="521">
        <f>QDA!L152*L$125*$R152/1000</f>
        <v>12.959825480606636</v>
      </c>
      <c r="M152" s="521">
        <f>QDA!M152*M$125*$R152/1000</f>
        <v>1.2840908982506603</v>
      </c>
      <c r="N152" s="521">
        <f>QDA!N152*N$125*$R152/1000</f>
        <v>536.82642285944019</v>
      </c>
      <c r="O152" s="10">
        <f>SUM(C152:N152)+SUM(C152:N152)*IF('Painel de Controle'!$D$45="Aditivo3",-'Levantamento eixo suspenso ADT3'!$I$16,-'Eixo Suspenso Pleito 6'!$D$20)</f>
        <v>19819.790035776772</v>
      </c>
      <c r="R152" s="315">
        <f>QD0!P33</f>
        <v>4.7525160660998287</v>
      </c>
    </row>
    <row r="153" spans="1:18">
      <c r="A153" s="126">
        <v>2039</v>
      </c>
      <c r="B153" s="497">
        <v>28</v>
      </c>
      <c r="C153" s="521">
        <f>QDA!C153*C$125*$R153/1000</f>
        <v>5914.0401726232467</v>
      </c>
      <c r="D153" s="521">
        <f>QDA!D153*D$125*$R153/1000</f>
        <v>4644.886614449706</v>
      </c>
      <c r="E153" s="521">
        <f>QDA!E153*E$125*$R153/1000</f>
        <v>4740.3671238444103</v>
      </c>
      <c r="F153" s="521">
        <f>QDA!F153*F$125*$R153/1000</f>
        <v>169.67493206589006</v>
      </c>
      <c r="G153" s="521">
        <f>QDA!G153*G$125*$R153/1000</f>
        <v>3955.5778964264173</v>
      </c>
      <c r="H153" s="521">
        <f>QDA!H153*H$125*$R153/1000</f>
        <v>1477.5015366788764</v>
      </c>
      <c r="I153" s="521">
        <f>QDA!I153*I$125*$R153/1000</f>
        <v>704.77257774210784</v>
      </c>
      <c r="J153" s="521">
        <f>QDA!J153*J$125*$R153/1000</f>
        <v>85.585941833174019</v>
      </c>
      <c r="K153" s="521">
        <f>QDA!K153*K$125*$R153/1000</f>
        <v>0</v>
      </c>
      <c r="L153" s="521">
        <f>QDA!L153*L$125*$R153/1000</f>
        <v>13.351734826328153</v>
      </c>
      <c r="M153" s="521">
        <f>QDA!M153*M$125*$R153/1000</f>
        <v>1.3229222254574533</v>
      </c>
      <c r="N153" s="521">
        <f>QDA!N153*N$125*$R153/1000</f>
        <v>553.06022882107857</v>
      </c>
      <c r="O153" s="10">
        <f>SUM(C153:N153)+SUM(C153:N153)*IF('Painel de Controle'!$D$45="Aditivo3",-'Levantamento eixo suspenso ADT3'!$I$16,-'Eixo Suspenso Pleito 6'!$D$20)</f>
        <v>20473.514171666604</v>
      </c>
      <c r="R153" s="315">
        <f>QD0!P34</f>
        <v>4.7525160660998287</v>
      </c>
    </row>
    <row r="154" spans="1:18">
      <c r="A154" s="126">
        <v>2040</v>
      </c>
      <c r="B154" s="497">
        <v>29</v>
      </c>
      <c r="C154" s="521">
        <f>QDA!C154*C$125*$R154/1000</f>
        <v>6084.4627688347255</v>
      </c>
      <c r="D154" s="521">
        <f>QDA!D154*D$125*$R154/1000</f>
        <v>4784.2080729876961</v>
      </c>
      <c r="E154" s="521">
        <f>QDA!E154*E$125*$R154/1000</f>
        <v>4904.9531579482573</v>
      </c>
      <c r="F154" s="521">
        <f>QDA!F154*F$125*$R154/1000</f>
        <v>175.29835619747573</v>
      </c>
      <c r="G154" s="521">
        <f>QDA!G154*G$125*$R154/1000</f>
        <v>4088.4880765045514</v>
      </c>
      <c r="H154" s="521">
        <f>QDA!H154*H$125*$R154/1000</f>
        <v>1527.4458031908587</v>
      </c>
      <c r="I154" s="521">
        <f>QDA!I154*I$125*$R154/1000</f>
        <v>728.46496913902388</v>
      </c>
      <c r="J154" s="521">
        <f>QDA!J154*J$125*$R154/1000</f>
        <v>88.496568370929992</v>
      </c>
      <c r="K154" s="521">
        <f>QDA!K154*K$125*$R154/1000</f>
        <v>0</v>
      </c>
      <c r="L154" s="521">
        <f>QDA!L154*L$125*$R154/1000</f>
        <v>13.73648657751904</v>
      </c>
      <c r="M154" s="521">
        <f>QDA!M154*M$125*$R154/1000</f>
        <v>1.3610443608619411</v>
      </c>
      <c r="N154" s="521">
        <f>QDA!N154*N$125*$R154/1000</f>
        <v>568.99755039919603</v>
      </c>
      <c r="O154" s="10">
        <f>SUM(C154:N154)+SUM(C154:N154)*IF('Painel de Controle'!$D$45="Aditivo3",-'Levantamento eixo suspenso ADT3'!$I$16,-'Eixo Suspenso Pleito 6'!$D$20)</f>
        <v>21122.639245467471</v>
      </c>
      <c r="R154" s="315">
        <f>QD0!P35</f>
        <v>4.7525160660998287</v>
      </c>
    </row>
    <row r="155" spans="1:18">
      <c r="A155" s="126">
        <v>2041</v>
      </c>
      <c r="B155" s="497">
        <v>30</v>
      </c>
      <c r="C155" s="521">
        <f>QDA!C155*C$125*$R155/1000</f>
        <v>6251.0623799653467</v>
      </c>
      <c r="D155" s="521">
        <f>QDA!D155*D$125*$R155/1000</f>
        <v>4921.050779208078</v>
      </c>
      <c r="E155" s="521">
        <f>QDA!E155*E$125*$R155/1000</f>
        <v>5069.1335218392733</v>
      </c>
      <c r="F155" s="521">
        <f>QDA!F155*F$125*$R155/1000</f>
        <v>180.90361292869136</v>
      </c>
      <c r="G155" s="521">
        <f>QDA!G155*G$125*$R155/1000</f>
        <v>4221.0796503475021</v>
      </c>
      <c r="H155" s="521">
        <f>QDA!H155*H$125*$R155/1000</f>
        <v>1577.2703455800302</v>
      </c>
      <c r="I155" s="521">
        <f>QDA!I155*I$125*$R155/1000</f>
        <v>752.10056621348087</v>
      </c>
      <c r="J155" s="521">
        <f>QDA!J155*J$125*$R155/1000</f>
        <v>91.400217687207004</v>
      </c>
      <c r="K155" s="521">
        <f>QDA!K155*K$125*$R155/1000</f>
        <v>0</v>
      </c>
      <c r="L155" s="521">
        <f>QDA!L155*L$125*$R155/1000</f>
        <v>14.112607429772025</v>
      </c>
      <c r="M155" s="521">
        <f>QDA!M155*M$125*$R155/1000</f>
        <v>1.3983113258950024</v>
      </c>
      <c r="N155" s="521">
        <f>QDA!N155*N$125*$R155/1000</f>
        <v>584.57735986344846</v>
      </c>
      <c r="O155" s="10">
        <f>SUM(C155:N155)+SUM(C155:N155)*IF('Painel de Controle'!$D$45="Aditivo3",-'Levantamento eixo suspenso ADT3'!$I$16,-'Eixo Suspenso Pleito 6'!$D$20)</f>
        <v>21764.779202531543</v>
      </c>
      <c r="R155" s="315">
        <f>QD0!P36</f>
        <v>4.7525160660998287</v>
      </c>
    </row>
    <row r="156" spans="1:18">
      <c r="A156" s="126">
        <v>2042</v>
      </c>
      <c r="B156" s="497">
        <v>31</v>
      </c>
      <c r="C156" s="521">
        <f>QDA!C156*C$125*$R156/1000</f>
        <v>6413.1864488214669</v>
      </c>
      <c r="D156" s="521">
        <f>QDA!D156*D$125*$R156/1000</f>
        <v>5054.8837247288657</v>
      </c>
      <c r="E156" s="521">
        <f>QDA!E156*E$125*$R156/1000</f>
        <v>5232.2905152869644</v>
      </c>
      <c r="F156" s="521">
        <f>QDA!F156*F$125*$R156/1000</f>
        <v>186.4695808541575</v>
      </c>
      <c r="G156" s="521">
        <f>QDA!G156*G$125*$R156/1000</f>
        <v>4352.8538331228665</v>
      </c>
      <c r="H156" s="521">
        <f>QDA!H156*H$125*$R156/1000</f>
        <v>1626.7877331876791</v>
      </c>
      <c r="I156" s="521">
        <f>QDA!I156*I$125*$R156/1000</f>
        <v>775.59045624663963</v>
      </c>
      <c r="J156" s="521">
        <f>QDA!J156*J$125*$R156/1000</f>
        <v>94.285966793495248</v>
      </c>
      <c r="K156" s="521">
        <f>QDA!K156*K$125*$R156/1000</f>
        <v>0</v>
      </c>
      <c r="L156" s="521">
        <f>QDA!L156*L$125*$R156/1000</f>
        <v>14.478624148148853</v>
      </c>
      <c r="M156" s="521">
        <f>QDA!M156*M$125*$R156/1000</f>
        <v>1.4345771488706724</v>
      </c>
      <c r="N156" s="521">
        <f>QDA!N156*N$125*$R156/1000</f>
        <v>599.73863236106126</v>
      </c>
      <c r="O156" s="10">
        <f>SUM(C156:N156)+SUM(C156:N156)*IF('Painel de Controle'!$D$45="Aditivo3",-'Levantamento eixo suspenso ADT3'!$I$16,-'Eixo Suspenso Pleito 6'!$D$20)</f>
        <v>22397.477344892905</v>
      </c>
      <c r="R156" s="315">
        <f>QD0!P37</f>
        <v>4.7525160660998287</v>
      </c>
    </row>
    <row r="157" spans="1:18">
      <c r="A157" s="126">
        <v>2043</v>
      </c>
      <c r="B157" s="497">
        <v>32</v>
      </c>
      <c r="C157" s="521">
        <f>QDA!C157*C$125*$R157/1000</f>
        <v>6570.1644959452087</v>
      </c>
      <c r="D157" s="521">
        <f>QDA!D157*D$125*$R157/1000</f>
        <v>5185.154555700753</v>
      </c>
      <c r="E157" s="521">
        <f>QDA!E157*E$125*$R157/1000</f>
        <v>5393.7551052422523</v>
      </c>
      <c r="F157" s="521">
        <f>QDA!F157*F$125*$R157/1000</f>
        <v>191.97342926515151</v>
      </c>
      <c r="G157" s="521">
        <f>QDA!G157*G$125*$R157/1000</f>
        <v>4483.2702935067491</v>
      </c>
      <c r="H157" s="521">
        <f>QDA!H157*H$125*$R157/1000</f>
        <v>1675.7949232398844</v>
      </c>
      <c r="I157" s="521">
        <f>QDA!I157*I$125*$R157/1000</f>
        <v>798.83832049751118</v>
      </c>
      <c r="J157" s="521">
        <f>QDA!J157*J$125*$R157/1000</f>
        <v>97.14198286638279</v>
      </c>
      <c r="K157" s="521">
        <f>QDA!K157*K$125*$R157/1000</f>
        <v>0</v>
      </c>
      <c r="L157" s="521">
        <f>QDA!L157*L$125*$R157/1000</f>
        <v>14.833023035808306</v>
      </c>
      <c r="M157" s="521">
        <f>QDA!M157*M$125*$R157/1000</f>
        <v>1.469691849039642</v>
      </c>
      <c r="N157" s="521">
        <f>QDA!N157*N$125*$R157/1000</f>
        <v>614.41866701216725</v>
      </c>
      <c r="O157" s="10">
        <f>SUM(C157:N157)+SUM(C157:N157)*IF('Painel de Controle'!$D$45="Aditivo3",-'Levantamento eixo suspenso ADT3'!$I$16,-'Eixo Suspenso Pleito 6'!$D$20)</f>
        <v>23018.130271831305</v>
      </c>
      <c r="R157" s="315">
        <f>QD0!P38</f>
        <v>4.7525160660998287</v>
      </c>
    </row>
    <row r="158" spans="1:18">
      <c r="A158" s="126">
        <v>2044</v>
      </c>
      <c r="B158" s="497">
        <v>33</v>
      </c>
      <c r="C158" s="521">
        <f>QDA!C158*C$125*$R158/1000</f>
        <v>6721.3856619453791</v>
      </c>
      <c r="D158" s="521">
        <f>QDA!D158*D$125*$R158/1000</f>
        <v>5311.3531684922273</v>
      </c>
      <c r="E158" s="521">
        <f>QDA!E158*E$125*$R158/1000</f>
        <v>5552.8828513743374</v>
      </c>
      <c r="F158" s="521">
        <f>QDA!F158*F$125*$R158/1000</f>
        <v>197.3932109420588</v>
      </c>
      <c r="G158" s="521">
        <f>QDA!G158*G$125*$R158/1000</f>
        <v>4611.8084696060423</v>
      </c>
      <c r="H158" s="521">
        <f>QDA!H158*H$125*$R158/1000</f>
        <v>1724.0963018121888</v>
      </c>
      <c r="I158" s="521">
        <f>QDA!I158*I$125*$R158/1000</f>
        <v>821.75136429746601</v>
      </c>
      <c r="J158" s="521">
        <f>QDA!J158*J$125*$R158/1000</f>
        <v>99.956866017164913</v>
      </c>
      <c r="K158" s="521">
        <f>QDA!K158*K$125*$R158/1000</f>
        <v>0</v>
      </c>
      <c r="L158" s="521">
        <f>QDA!L158*L$125*$R158/1000</f>
        <v>15.174424996165108</v>
      </c>
      <c r="M158" s="521">
        <f>QDA!M158*M$125*$R158/1000</f>
        <v>1.503518782171968</v>
      </c>
      <c r="N158" s="521">
        <f>QDA!N158*N$125*$R158/1000</f>
        <v>628.56033839576696</v>
      </c>
      <c r="O158" s="10">
        <f>SUM(C158:N158)+SUM(C158:N158)*IF('Painel de Controle'!$D$45="Aditivo3",-'Levantamento eixo suspenso ADT3'!$I$16,-'Eixo Suspenso Pleito 6'!$D$20)</f>
        <v>23624.285626878231</v>
      </c>
      <c r="R158" s="315">
        <f>QD0!P39</f>
        <v>4.7525160660998287</v>
      </c>
    </row>
    <row r="159" spans="1:18">
      <c r="A159" s="126">
        <v>2045</v>
      </c>
      <c r="B159" s="497">
        <v>34</v>
      </c>
      <c r="C159" s="521">
        <f>QDA!C159*C$125*$R159/1000</f>
        <v>6866.4745574483659</v>
      </c>
      <c r="D159" s="521">
        <f>QDA!D159*D$125*$R159/1000</f>
        <v>5433.1602178557987</v>
      </c>
      <c r="E159" s="521">
        <f>QDA!E159*E$125*$R159/1000</f>
        <v>5709.2478763152485</v>
      </c>
      <c r="F159" s="521">
        <f>QDA!F159*F$125*$R159/1000</f>
        <v>202.71445791193969</v>
      </c>
      <c r="G159" s="521">
        <f>QDA!G159*G$125*$R159/1000</f>
        <v>4738.1242741708165</v>
      </c>
      <c r="H159" s="521">
        <f>QDA!H159*H$125*$R159/1000</f>
        <v>1771.5625696642812</v>
      </c>
      <c r="I159" s="521">
        <f>QDA!I159*I$125*$R159/1000</f>
        <v>844.26825111234871</v>
      </c>
      <c r="J159" s="521">
        <f>QDA!J159*J$125*$R159/1000</f>
        <v>102.72308101053939</v>
      </c>
      <c r="K159" s="521">
        <f>QDA!K159*K$125*$R159/1000</f>
        <v>0</v>
      </c>
      <c r="L159" s="521">
        <f>QDA!L159*L$125*$R159/1000</f>
        <v>15.50198253761844</v>
      </c>
      <c r="M159" s="521">
        <f>QDA!M159*M$125*$R159/1000</f>
        <v>1.5359739767471576</v>
      </c>
      <c r="N159" s="521">
        <f>QDA!N159*N$125*$R159/1000</f>
        <v>642.12854141842013</v>
      </c>
      <c r="O159" s="10">
        <f>SUM(C159:N159)+SUM(C159:N159)*IF('Painel de Controle'!$D$45="Aditivo3",-'Levantamento eixo suspenso ADT3'!$I$16,-'Eixo Suspenso Pleito 6'!$D$20)</f>
        <v>24214.36755291175</v>
      </c>
      <c r="R159" s="315">
        <f>QD0!P40</f>
        <v>4.7525160660998287</v>
      </c>
    </row>
    <row r="160" spans="1:18">
      <c r="A160" s="126">
        <v>2046</v>
      </c>
      <c r="B160" s="497">
        <v>35</v>
      </c>
      <c r="C160" s="521">
        <f>QDA!C160*C$125*$R160/1000</f>
        <v>6961.0958354884015</v>
      </c>
      <c r="D160" s="521">
        <f>QDA!D160*D$125*$R160/1000</f>
        <v>5512.9365981131868</v>
      </c>
      <c r="E160" s="521">
        <f>QDA!E160*E$125*$R160/1000</f>
        <v>5812.9441048926155</v>
      </c>
      <c r="F160" s="521">
        <f>QDA!F160*F$125*$R160/1000</f>
        <v>206.24131565678948</v>
      </c>
      <c r="G160" s="521">
        <f>QDA!G160*G$125*$R160/1000</f>
        <v>4821.8970502190105</v>
      </c>
      <c r="H160" s="521">
        <f>QDA!H160*H$125*$R160/1000</f>
        <v>1803.0422490307521</v>
      </c>
      <c r="I160" s="521">
        <f>QDA!I160*I$125*$R160/1000</f>
        <v>859.20147441678785</v>
      </c>
      <c r="J160" s="521">
        <f>QDA!J160*J$125*$R160/1000</f>
        <v>104.55763773872995</v>
      </c>
      <c r="K160" s="521">
        <f>QDA!K160*K$125*$R160/1000</f>
        <v>0</v>
      </c>
      <c r="L160" s="521">
        <f>QDA!L160*L$125*$R160/1000</f>
        <v>15.715602698530946</v>
      </c>
      <c r="M160" s="521">
        <f>QDA!M160*M$125*$R160/1000</f>
        <v>1.5571399796938084</v>
      </c>
      <c r="N160" s="521">
        <f>QDA!N160*N$125*$R160/1000</f>
        <v>650.97719042260064</v>
      </c>
      <c r="O160" s="10">
        <f>SUM(C160:N160)+SUM(C160:N160)*IF('Painel de Controle'!$D$45="Aditivo3",-'Levantamento eixo suspenso ADT3'!$I$16,-'Eixo Suspenso Pleito 6'!$D$20)</f>
        <v>24603.163564628114</v>
      </c>
      <c r="R160" s="315">
        <f>QD0!P41</f>
        <v>4.7525160660998287</v>
      </c>
    </row>
    <row r="161" spans="1:33">
      <c r="B161" s="514" t="s">
        <v>4</v>
      </c>
      <c r="C161" s="515">
        <f t="shared" ref="C161:O161" si="12">SUM(C126:C160)</f>
        <v>143024.90341954021</v>
      </c>
      <c r="D161" s="515">
        <f t="shared" si="12"/>
        <v>113052.19643299928</v>
      </c>
      <c r="E161" s="515">
        <f t="shared" si="12"/>
        <v>118191.97249157169</v>
      </c>
      <c r="F161" s="515">
        <f t="shared" si="12"/>
        <v>4338.6616213259131</v>
      </c>
      <c r="G161" s="515">
        <f t="shared" si="12"/>
        <v>100936.75780304105</v>
      </c>
      <c r="H161" s="515">
        <f t="shared" si="12"/>
        <v>37550.134453129853</v>
      </c>
      <c r="I161" s="515">
        <f t="shared" si="12"/>
        <v>17978.21959022083</v>
      </c>
      <c r="J161" s="515">
        <f t="shared" si="12"/>
        <v>2166.2110923559203</v>
      </c>
      <c r="K161" s="515">
        <f t="shared" si="12"/>
        <v>0</v>
      </c>
      <c r="L161" s="515">
        <f t="shared" si="12"/>
        <v>322.89780391732694</v>
      </c>
      <c r="M161" s="515">
        <f t="shared" si="12"/>
        <v>31.993496493901674</v>
      </c>
      <c r="N161" s="515">
        <f t="shared" si="12"/>
        <v>13375.185745016193</v>
      </c>
      <c r="O161" s="531">
        <f t="shared" si="12"/>
        <v>509854.17536818457</v>
      </c>
    </row>
    <row r="162" spans="1:33">
      <c r="B162" s="542"/>
      <c r="C162" s="543"/>
      <c r="D162" s="543"/>
      <c r="E162" s="543"/>
      <c r="F162" s="543"/>
      <c r="G162" s="543"/>
      <c r="H162" s="543"/>
      <c r="I162" s="543"/>
      <c r="J162" s="543"/>
      <c r="K162" s="543"/>
      <c r="L162" s="543"/>
      <c r="M162" s="543"/>
      <c r="N162" s="543"/>
      <c r="O162" s="18"/>
    </row>
    <row r="163" spans="1:33">
      <c r="B163" s="516" t="s">
        <v>244</v>
      </c>
      <c r="C163" s="517"/>
      <c r="D163" s="517"/>
      <c r="E163" s="517"/>
      <c r="F163" s="517"/>
      <c r="G163" s="517"/>
      <c r="H163" s="517"/>
      <c r="I163" s="517"/>
      <c r="J163" s="517"/>
      <c r="K163" s="517"/>
      <c r="L163" s="517"/>
      <c r="M163" s="517"/>
      <c r="N163" s="518" t="s">
        <v>131</v>
      </c>
      <c r="O163" s="139">
        <f>QDL!$C$36</f>
        <v>4.7525160660998287</v>
      </c>
    </row>
    <row r="164" spans="1:33">
      <c r="B164" s="902" t="s">
        <v>31</v>
      </c>
      <c r="C164" s="495" t="s">
        <v>32</v>
      </c>
      <c r="D164" s="495" t="s">
        <v>33</v>
      </c>
      <c r="E164" s="495" t="s">
        <v>34</v>
      </c>
      <c r="F164" s="495" t="s">
        <v>35</v>
      </c>
      <c r="G164" s="495" t="s">
        <v>36</v>
      </c>
      <c r="H164" s="495" t="s">
        <v>37</v>
      </c>
      <c r="I164" s="495" t="s">
        <v>38</v>
      </c>
      <c r="J164" s="495" t="s">
        <v>39</v>
      </c>
      <c r="K164" s="495" t="s">
        <v>40</v>
      </c>
      <c r="L164" s="495" t="s">
        <v>240</v>
      </c>
      <c r="M164" s="495" t="s">
        <v>241</v>
      </c>
      <c r="N164" s="495" t="s">
        <v>242</v>
      </c>
      <c r="O164" s="902" t="s">
        <v>41</v>
      </c>
      <c r="AB164" s="495" t="s">
        <v>34</v>
      </c>
      <c r="AC164" s="495" t="s">
        <v>35</v>
      </c>
      <c r="AD164" s="495" t="s">
        <v>36</v>
      </c>
      <c r="AE164" s="495" t="s">
        <v>37</v>
      </c>
      <c r="AF164" s="495" t="s">
        <v>38</v>
      </c>
      <c r="AG164" s="495" t="s">
        <v>39</v>
      </c>
    </row>
    <row r="165" spans="1:33">
      <c r="B165" s="903"/>
      <c r="C165" s="496">
        <f>C$5</f>
        <v>1</v>
      </c>
      <c r="D165" s="496">
        <f t="shared" ref="D165:N165" si="13">D$5</f>
        <v>2</v>
      </c>
      <c r="E165" s="496">
        <f t="shared" si="13"/>
        <v>3</v>
      </c>
      <c r="F165" s="496">
        <f t="shared" si="13"/>
        <v>4</v>
      </c>
      <c r="G165" s="496">
        <f t="shared" si="13"/>
        <v>5</v>
      </c>
      <c r="H165" s="496">
        <f t="shared" si="13"/>
        <v>6</v>
      </c>
      <c r="I165" s="496">
        <f t="shared" si="13"/>
        <v>7</v>
      </c>
      <c r="J165" s="496">
        <f t="shared" si="13"/>
        <v>8</v>
      </c>
      <c r="K165" s="496">
        <f t="shared" si="13"/>
        <v>9</v>
      </c>
      <c r="L165" s="496">
        <f t="shared" si="13"/>
        <v>1.5</v>
      </c>
      <c r="M165" s="496">
        <f t="shared" si="13"/>
        <v>2</v>
      </c>
      <c r="N165" s="496">
        <f t="shared" si="13"/>
        <v>0.5</v>
      </c>
      <c r="O165" s="903"/>
    </row>
    <row r="166" spans="1:33">
      <c r="A166" s="126">
        <v>2012</v>
      </c>
      <c r="B166" s="497">
        <v>1</v>
      </c>
      <c r="C166" s="521"/>
      <c r="D166" s="521"/>
      <c r="E166" s="521"/>
      <c r="F166" s="521"/>
      <c r="G166" s="521"/>
      <c r="H166" s="521"/>
      <c r="I166" s="521"/>
      <c r="J166" s="521"/>
      <c r="K166" s="521"/>
      <c r="L166" s="521"/>
      <c r="M166" s="521"/>
      <c r="N166" s="521"/>
      <c r="O166" s="10">
        <f>SUM(C166:N166)</f>
        <v>0</v>
      </c>
    </row>
    <row r="167" spans="1:33">
      <c r="A167" s="126">
        <v>2013</v>
      </c>
      <c r="B167" s="497">
        <v>2</v>
      </c>
      <c r="C167" s="521">
        <f>QDA!C167*C$165*$R$167/1000</f>
        <v>0</v>
      </c>
      <c r="D167" s="521">
        <f>QDA!D167*D$165*$R$167/1000</f>
        <v>0</v>
      </c>
      <c r="E167" s="521">
        <f>QDA!E167*E$165*$R$167/1000</f>
        <v>0</v>
      </c>
      <c r="F167" s="521">
        <f>QDA!F167*F$165*$R$167/1000</f>
        <v>0</v>
      </c>
      <c r="G167" s="521">
        <f>QDA!G167*G$165*$R$167/1000</f>
        <v>0</v>
      </c>
      <c r="H167" s="521">
        <f>QDA!H167*H$165*$R$167/1000</f>
        <v>0</v>
      </c>
      <c r="I167" s="521">
        <f>QDA!I167*I$165*$R$167/1000</f>
        <v>0</v>
      </c>
      <c r="J167" s="521">
        <f>QDA!J167*J$165*$R$167/1000</f>
        <v>0</v>
      </c>
      <c r="K167" s="521">
        <f>QDA!K167*K$165*$R$167/1000</f>
        <v>0</v>
      </c>
      <c r="L167" s="521">
        <f>QDA!L167*L$165*$R$167/1000</f>
        <v>0</v>
      </c>
      <c r="M167" s="521">
        <f>QDA!M167*M$165*$R$167/1000</f>
        <v>0</v>
      </c>
      <c r="N167" s="521">
        <f>QDA!N167*N$165*$R$167/1000</f>
        <v>0</v>
      </c>
      <c r="O167" s="140">
        <f t="shared" ref="O167:O171" si="14">SUM(C167:N167)</f>
        <v>0</v>
      </c>
      <c r="R167" s="315">
        <f>QD0!P8</f>
        <v>0</v>
      </c>
      <c r="T167" s="527"/>
      <c r="U167" s="527"/>
      <c r="W167" s="527"/>
      <c r="X167" s="527"/>
    </row>
    <row r="168" spans="1:33">
      <c r="A168" s="126">
        <v>2014</v>
      </c>
      <c r="B168" s="497">
        <v>3</v>
      </c>
      <c r="C168" s="521">
        <f>QDA!C168*C$165*$R168/1000</f>
        <v>2838.8390843835668</v>
      </c>
      <c r="D168" s="521">
        <f>QDA!D168*D$165*$R168/1000</f>
        <v>2209.3233819756961</v>
      </c>
      <c r="E168" s="521">
        <f>QDA!E168*E$165*$R168/1000</f>
        <v>1430.6023336152705</v>
      </c>
      <c r="F168" s="521">
        <f>QDA!F168*F$165*$R168/1000</f>
        <v>95.448493149416677</v>
      </c>
      <c r="G168" s="521">
        <f>QDA!G168*G$165*$R168/1000</f>
        <v>2425.717130193249</v>
      </c>
      <c r="H168" s="521">
        <f>QDA!H168*H$165*$R168/1000</f>
        <v>629.88996177750334</v>
      </c>
      <c r="I168" s="521">
        <f>QDA!I168*I$165*$R168/1000</f>
        <v>361.95206896661892</v>
      </c>
      <c r="J168" s="521">
        <f>QDA!J168*J$165*$R168/1000</f>
        <v>38.664043720246738</v>
      </c>
      <c r="K168" s="521">
        <f>QDA!K168*K$165*$R168/1000</f>
        <v>0</v>
      </c>
      <c r="L168" s="521">
        <f>QDA!L168*L$165*$R168/1000</f>
        <v>5.9458030805717632</v>
      </c>
      <c r="M168" s="521">
        <f>QDA!M168*M$165*$R168/1000</f>
        <v>0</v>
      </c>
      <c r="N168" s="521">
        <f>QDA!N168*N$165*$R168/1000</f>
        <v>208.30040636128612</v>
      </c>
      <c r="O168" s="140">
        <f t="shared" si="14"/>
        <v>10244.682707223426</v>
      </c>
      <c r="R168" s="315">
        <f>QD0!P9</f>
        <v>3.8356302866944683</v>
      </c>
      <c r="T168" s="527"/>
      <c r="U168" s="527"/>
      <c r="W168" s="528"/>
      <c r="X168" s="527"/>
    </row>
    <row r="169" spans="1:33">
      <c r="A169" s="126">
        <v>2015</v>
      </c>
      <c r="B169" s="497">
        <v>4</v>
      </c>
      <c r="C169" s="521">
        <f>QDA!C169*C$165*$R169/1000</f>
        <v>3661.986188129134</v>
      </c>
      <c r="D169" s="521">
        <f>QDA!D169*D$165*$R169/1000</f>
        <v>2836.153628428764</v>
      </c>
      <c r="E169" s="521">
        <f>QDA!E169*E$165*$R169/1000</f>
        <v>1776.8024657497194</v>
      </c>
      <c r="F169" s="521">
        <f>QDA!F169*F$165*$R169/1000</f>
        <v>119.41097310684268</v>
      </c>
      <c r="G169" s="521">
        <f>QDA!G169*G$165*$R169/1000</f>
        <v>3034.9445069159538</v>
      </c>
      <c r="H169" s="521">
        <f>QDA!H169*H$165*$R169/1000</f>
        <v>788.1182928270174</v>
      </c>
      <c r="I169" s="521">
        <f>QDA!I169*I$165*$R169/1000</f>
        <v>452.86437042648237</v>
      </c>
      <c r="J169" s="521">
        <f>QDA!J169*J$165*$R169/1000</f>
        <v>48.380533422274901</v>
      </c>
      <c r="K169" s="521">
        <f>QDA!K169*K$165*$R169/1000</f>
        <v>0</v>
      </c>
      <c r="L169" s="521">
        <f>QDA!L169*L$165*$R169/1000</f>
        <v>7.6698425346350323</v>
      </c>
      <c r="M169" s="521">
        <f>QDA!M169*M$165*$R169/1000</f>
        <v>0</v>
      </c>
      <c r="N169" s="521">
        <f>QDA!N169*N$165*$R169/1000</f>
        <v>268.69899575246643</v>
      </c>
      <c r="O169" s="140">
        <f t="shared" si="14"/>
        <v>12995.029797293288</v>
      </c>
      <c r="R169" s="315">
        <f>QD0!P10</f>
        <v>4.60527978501145</v>
      </c>
    </row>
    <row r="170" spans="1:33">
      <c r="A170" s="126">
        <v>2016</v>
      </c>
      <c r="B170" s="497">
        <v>5</v>
      </c>
      <c r="C170" s="521">
        <f>QDA!C170*C$165*$R170/1000</f>
        <v>3922.9805395551839</v>
      </c>
      <c r="D170" s="521">
        <f>QDA!D170*D$165*$R170/1000</f>
        <v>3025.2573968759139</v>
      </c>
      <c r="E170" s="521">
        <f>QDA!E170*E$165*$R170/1000</f>
        <v>1838.5578343013633</v>
      </c>
      <c r="F170" s="521">
        <f>QDA!F170*F$165*$R170/1000</f>
        <v>124.43535854392543</v>
      </c>
      <c r="G170" s="521">
        <f>QDA!G170*G$165*$R170/1000</f>
        <v>3162.8923454662549</v>
      </c>
      <c r="H170" s="521">
        <f>QDA!H170*H$165*$R170/1000</f>
        <v>821.3732776462856</v>
      </c>
      <c r="I170" s="521">
        <f>QDA!I170*I$165*$R170/1000</f>
        <v>471.96310771025031</v>
      </c>
      <c r="J170" s="521">
        <f>QDA!J170*J$165*$R170/1000</f>
        <v>50.426063810281626</v>
      </c>
      <c r="K170" s="521">
        <f>QDA!K170*K$165*$R170/1000</f>
        <v>0</v>
      </c>
      <c r="L170" s="521">
        <f>QDA!L170*L$165*$R170/1000</f>
        <v>8.2164818377422062</v>
      </c>
      <c r="M170" s="521">
        <f>QDA!M170*M$165*$R170/1000</f>
        <v>0</v>
      </c>
      <c r="N170" s="521">
        <f>QDA!N170*N$165*$R170/1000</f>
        <v>287.84951039738218</v>
      </c>
      <c r="O170" s="140">
        <f t="shared" si="14"/>
        <v>13713.951916144584</v>
      </c>
      <c r="R170" s="315">
        <f>QD0!P11</f>
        <v>4.60527978501145</v>
      </c>
      <c r="AB170" s="529"/>
    </row>
    <row r="171" spans="1:33">
      <c r="A171" s="126">
        <v>2017</v>
      </c>
      <c r="B171" s="497">
        <v>6</v>
      </c>
      <c r="C171" s="521">
        <f>QDA!C171*C$165*$R171/1000</f>
        <v>4196.8866000789149</v>
      </c>
      <c r="D171" s="521">
        <f>QDA!D171*D$165*$R171/1000</f>
        <v>3220.4883709385931</v>
      </c>
      <c r="E171" s="521">
        <f>QDA!E171*E$165*$R171/1000</f>
        <v>1887.2988962235297</v>
      </c>
      <c r="F171" s="521">
        <f>QDA!F171*F$165*$R171/1000</f>
        <v>128.81236473583556</v>
      </c>
      <c r="G171" s="521">
        <f>QDA!G171*G$165*$R171/1000</f>
        <v>3274.4514211852297</v>
      </c>
      <c r="H171" s="521">
        <f>QDA!H171*H$165*$R171/1000</f>
        <v>850.38008579956704</v>
      </c>
      <c r="I171" s="521">
        <f>QDA!I171*I$165*$R171/1000</f>
        <v>488.61814445154278</v>
      </c>
      <c r="J171" s="521">
        <f>QDA!J171*J$165*$R171/1000</f>
        <v>52.211881431520304</v>
      </c>
      <c r="K171" s="521">
        <f>QDA!K171*K$165*$R171/1000</f>
        <v>0</v>
      </c>
      <c r="L171" s="521">
        <f>QDA!L171*L$165*$R171/1000</f>
        <v>8.7901640543243804</v>
      </c>
      <c r="M171" s="521">
        <f>QDA!M171*M$165*$R171/1000</f>
        <v>0</v>
      </c>
      <c r="N171" s="521">
        <f>QDA!N171*N$165*$R171/1000</f>
        <v>307.94742437417995</v>
      </c>
      <c r="O171" s="140">
        <f t="shared" si="14"/>
        <v>14415.885353273236</v>
      </c>
      <c r="R171" s="315">
        <f>QD0!P12</f>
        <v>4.60527978501145</v>
      </c>
    </row>
    <row r="172" spans="1:33">
      <c r="A172" s="126">
        <v>2018</v>
      </c>
      <c r="B172" s="497">
        <v>7</v>
      </c>
      <c r="C172" s="521">
        <f>QDA!C172*C$165*$R172/1000</f>
        <v>4525.9771533941021</v>
      </c>
      <c r="D172" s="521">
        <f>QDA!D172*D$165*$R172/1000</f>
        <v>3450.7743483616887</v>
      </c>
      <c r="E172" s="521">
        <f>QDA!E172*E$165*$R172/1000</f>
        <v>1924.5608496335583</v>
      </c>
      <c r="F172" s="521">
        <f>QDA!F172*F$165*$R172/1000</f>
        <v>132.84294439960917</v>
      </c>
      <c r="G172" s="521">
        <f>QDA!G172*G$165*$R172/1000</f>
        <v>3377.327723602371</v>
      </c>
      <c r="H172" s="521">
        <f>QDA!H172*H$165*$R172/1000</f>
        <v>877.14655015984579</v>
      </c>
      <c r="I172" s="521">
        <f>QDA!I172*I$165*$R172/1000</f>
        <v>503.98090024723308</v>
      </c>
      <c r="J172" s="521">
        <f>QDA!J172*J$165*$R172/1000</f>
        <v>53.86218153547842</v>
      </c>
      <c r="K172" s="521">
        <f>QDA!K172*K$165*$R172/1000</f>
        <v>0</v>
      </c>
      <c r="L172" s="521">
        <f>QDA!L172*L$165*$R172/1000</f>
        <v>9.4794273649686271</v>
      </c>
      <c r="M172" s="521">
        <f>QDA!M172*M$165*$R172/1000</f>
        <v>0</v>
      </c>
      <c r="N172" s="521">
        <f>QDA!N172*N$165*$R172/1000</f>
        <v>332.09451195033228</v>
      </c>
      <c r="O172" s="10">
        <f>SUM(C172:N172)+(SUM(C172:N172)*IF('Painel de Controle'!$D$45="Aditivo3",-'Levantamento eixo suspenso ADT3'!$I$16,-'Eixo Suspenso Pleito 6'!$D$17)*$S$24)</f>
        <v>14685.041462033692</v>
      </c>
      <c r="R172" s="315">
        <f>QD0!P13</f>
        <v>4.6504420533133422</v>
      </c>
      <c r="AB172" s="467">
        <v>0.19950433705080545</v>
      </c>
      <c r="AC172" s="467">
        <v>0.37184873949579833</v>
      </c>
      <c r="AD172" s="467">
        <v>0.10916030534351145</v>
      </c>
      <c r="AE172" s="467">
        <v>0.25238095238095237</v>
      </c>
      <c r="AF172" s="467">
        <v>0.21428571428571427</v>
      </c>
      <c r="AG172" s="467">
        <v>0</v>
      </c>
    </row>
    <row r="173" spans="1:33">
      <c r="A173" s="126">
        <v>2019</v>
      </c>
      <c r="B173" s="497">
        <v>8</v>
      </c>
      <c r="C173" s="521">
        <f>QDA!C173*C$165*$R173/1000</f>
        <v>5069.7256833098718</v>
      </c>
      <c r="D173" s="521">
        <f>QDA!D173*D$165*$R173/1000</f>
        <v>3843.9595380906794</v>
      </c>
      <c r="E173" s="521">
        <f>QDA!E173*E$165*$R173/1000</f>
        <v>2049.2965632873907</v>
      </c>
      <c r="F173" s="521">
        <f>QDA!F173*F$165*$R173/1000</f>
        <v>143.00566712824983</v>
      </c>
      <c r="G173" s="521">
        <f>QDA!G173*G$165*$R173/1000</f>
        <v>3636.1299022328203</v>
      </c>
      <c r="H173" s="521">
        <f>QDA!H173*H$165*$R173/1000</f>
        <v>944.41250121701955</v>
      </c>
      <c r="I173" s="521">
        <f>QDA!I173*I$165*$R173/1000</f>
        <v>542.6123549861411</v>
      </c>
      <c r="J173" s="521">
        <f>QDA!J173*J$165*$R173/1000</f>
        <v>57.999819967393314</v>
      </c>
      <c r="K173" s="521">
        <f>QDA!K173*K$165*$R173/1000</f>
        <v>0</v>
      </c>
      <c r="L173" s="521">
        <f>QDA!L173*L$165*$R173/1000</f>
        <v>10.618280814610907</v>
      </c>
      <c r="M173" s="521">
        <f>QDA!M173*M$165*$R173/1000</f>
        <v>0</v>
      </c>
      <c r="N173" s="521">
        <f>QDA!N173*N$165*$R173/1000</f>
        <v>371.99217306218105</v>
      </c>
      <c r="O173" s="10">
        <f>SUM(C173:N173)+SUM(C173:N173)*IF('Painel de Controle'!$D$45="Aditivo3",-'Levantamento eixo suspenso ADT3'!$I$16,-'Eixo Suspenso Pleito 6'!$D$18)</f>
        <v>15355.284076084738</v>
      </c>
      <c r="R173" s="315">
        <f>QD0!P14</f>
        <v>4.8910911491809559</v>
      </c>
    </row>
    <row r="174" spans="1:33">
      <c r="A174" s="126">
        <v>2020</v>
      </c>
      <c r="B174" s="497">
        <v>9</v>
      </c>
      <c r="C174" s="521">
        <f>QDA!C174*C$165*$R174/1000</f>
        <v>5441.8239180358587</v>
      </c>
      <c r="D174" s="521">
        <f>QDA!D174*D$165*$R174/1000</f>
        <v>4106.2052357210778</v>
      </c>
      <c r="E174" s="521">
        <f>QDA!E174*E$165*$R174/1000</f>
        <v>2100.7085419483333</v>
      </c>
      <c r="F174" s="521">
        <f>QDA!F174*F$165*$R174/1000</f>
        <v>148.15739529562831</v>
      </c>
      <c r="G174" s="521">
        <f>QDA!G174*G$165*$R174/1000</f>
        <v>3767.5484872015036</v>
      </c>
      <c r="H174" s="521">
        <f>QDA!H174*H$165*$R174/1000</f>
        <v>978.59643971764399</v>
      </c>
      <c r="I174" s="521">
        <f>QDA!I174*I$165*$R174/1000</f>
        <v>562.23538603185455</v>
      </c>
      <c r="J174" s="521">
        <f>QDA!J174*J$165*$R174/1000</f>
        <v>60.106238045251601</v>
      </c>
      <c r="K174" s="521">
        <f>QDA!K174*K$165*$R174/1000</f>
        <v>0</v>
      </c>
      <c r="L174" s="521">
        <f>QDA!L174*L$165*$R174/1000</f>
        <v>11.397621511475201</v>
      </c>
      <c r="M174" s="521">
        <f>QDA!M174*M$165*$R174/1000</f>
        <v>0</v>
      </c>
      <c r="N174" s="521">
        <f>QDA!N174*N$165*$R174/1000</f>
        <v>399.29495817815058</v>
      </c>
      <c r="O174" s="10">
        <f>SUM(C174:N174)+SUM(C174:N174)*IF('Painel de Controle'!$D$45="Aditivo3",-'Levantamento eixo suspenso ADT3'!$I$16,-'Eixo Suspenso Pleito 6'!$D$19)</f>
        <v>16122.48876516871</v>
      </c>
      <c r="R174" s="315">
        <f>QD0!P15</f>
        <v>4.9375608950411713</v>
      </c>
    </row>
    <row r="175" spans="1:33">
      <c r="A175" s="126">
        <v>2021</v>
      </c>
      <c r="B175" s="497">
        <v>10</v>
      </c>
      <c r="C175" s="521">
        <f>QDA!C175*C$165*$R175/1000</f>
        <v>5776.1157425294232</v>
      </c>
      <c r="D175" s="521">
        <f>QDA!D175*D$165*$R175/1000</f>
        <v>4340.2018649808088</v>
      </c>
      <c r="E175" s="521">
        <f>QDA!E175*E$165*$R175/1000</f>
        <v>2138.910792485372</v>
      </c>
      <c r="F175" s="521">
        <f>QDA!F175*F$165*$R175/1000</f>
        <v>152.40284397122917</v>
      </c>
      <c r="G175" s="521">
        <f>QDA!G175*G$165*$R175/1000</f>
        <v>3875.9271387946669</v>
      </c>
      <c r="H175" s="521">
        <f>QDA!H175*H$165*$R175/1000</f>
        <v>1006.7966334683771</v>
      </c>
      <c r="I175" s="521">
        <f>QDA!I175*I$165*$R175/1000</f>
        <v>578.42031135370905</v>
      </c>
      <c r="J175" s="521">
        <f>QDA!J175*J$165*$R175/1000</f>
        <v>61.845231150918771</v>
      </c>
      <c r="K175" s="521">
        <f>QDA!K175*K$165*$R175/1000</f>
        <v>0</v>
      </c>
      <c r="L175" s="521">
        <f>QDA!L175*L$165*$R175/1000</f>
        <v>12.097778618236815</v>
      </c>
      <c r="M175" s="521">
        <f>QDA!M175*M$165*$R175/1000</f>
        <v>0</v>
      </c>
      <c r="N175" s="521">
        <f>QDA!N175*N$165*$R175/1000</f>
        <v>423.82369010533745</v>
      </c>
      <c r="O175" s="10">
        <f>SUM(C175:N175)+SUM(C175:N175)*IF('Painel de Controle'!$D$45="Aditivo3",-'Levantamento eixo suspenso ADT3'!$I$16,-'Eixo Suspenso Pleito 6'!$D$20)</f>
        <v>16892.419817595466</v>
      </c>
      <c r="R175" s="315">
        <f>QD0!P16</f>
        <v>4.9375608950411713</v>
      </c>
    </row>
    <row r="176" spans="1:33">
      <c r="A176" s="126">
        <v>2022</v>
      </c>
      <c r="B176" s="497">
        <v>11</v>
      </c>
      <c r="C176" s="521">
        <f>QDA!C176*C$165*$R176/1000</f>
        <v>6119.6677826179157</v>
      </c>
      <c r="D176" s="521">
        <f>QDA!D176*D$165*$R176/1000</f>
        <v>4581.6644151999344</v>
      </c>
      <c r="E176" s="521">
        <f>QDA!E176*E$165*$R176/1000</f>
        <v>2183.0690851827876</v>
      </c>
      <c r="F176" s="521">
        <f>QDA!F176*F$165*$R176/1000</f>
        <v>157.07903563468977</v>
      </c>
      <c r="G176" s="521">
        <f>QDA!G176*G$165*$R176/1000</f>
        <v>3995.2614839955072</v>
      </c>
      <c r="H176" s="521">
        <f>QDA!H176*H$165*$R176/1000</f>
        <v>1037.842754571627</v>
      </c>
      <c r="I176" s="521">
        <f>QDA!I176*I$165*$R176/1000</f>
        <v>596.24022617941614</v>
      </c>
      <c r="J176" s="521">
        <f>QDA!J176*J$165*$R176/1000</f>
        <v>63.759059371080262</v>
      </c>
      <c r="K176" s="521">
        <f>QDA!K176*K$165*$R176/1000</f>
        <v>0</v>
      </c>
      <c r="L176" s="521">
        <f>QDA!L176*L$165*$R176/1000</f>
        <v>12.817330772330973</v>
      </c>
      <c r="M176" s="521">
        <f>QDA!M176*M$165*$R176/1000</f>
        <v>0</v>
      </c>
      <c r="N176" s="521">
        <f>QDA!N176*N$165*$R176/1000</f>
        <v>449.03189227161886</v>
      </c>
      <c r="O176" s="10">
        <f>SUM(C176:N176)+SUM(C176:N176)*IF('Painel de Controle'!$D$45="Aditivo3",-'Levantamento eixo suspenso ADT3'!$I$16,-'Eixo Suspenso Pleito 6'!$D$20)</f>
        <v>17655.702737239313</v>
      </c>
      <c r="R176" s="315">
        <f>QD0!P17</f>
        <v>4.9375608950411713</v>
      </c>
    </row>
    <row r="177" spans="1:18">
      <c r="A177" s="126">
        <v>2023</v>
      </c>
      <c r="B177" s="497">
        <v>12</v>
      </c>
      <c r="C177" s="521">
        <f>QDA!C177*C$165*$R177/1000</f>
        <v>6471.2865811641432</v>
      </c>
      <c r="D177" s="521">
        <f>QDA!D177*D$165*$R177/1000</f>
        <v>4829.7180673074936</v>
      </c>
      <c r="E177" s="521">
        <f>QDA!E177*E$165*$R177/1000</f>
        <v>2232.8507334486762</v>
      </c>
      <c r="F177" s="521">
        <f>QDA!F177*F$165*$R177/1000</f>
        <v>162.16183788062926</v>
      </c>
      <c r="G177" s="521">
        <f>QDA!G177*G$165*$R177/1000</f>
        <v>4124.9376489674069</v>
      </c>
      <c r="H177" s="521">
        <f>QDA!H177*H$165*$R177/1000</f>
        <v>1071.5753293950938</v>
      </c>
      <c r="I177" s="521">
        <f>QDA!I177*I$165*$R177/1000</f>
        <v>615.60351592432505</v>
      </c>
      <c r="J177" s="521">
        <f>QDA!J177*J$165*$R177/1000</f>
        <v>65.837924368056363</v>
      </c>
      <c r="K177" s="521">
        <f>QDA!K177*K$165*$R177/1000</f>
        <v>0</v>
      </c>
      <c r="L177" s="521">
        <f>QDA!L177*L$165*$R177/1000</f>
        <v>13.553778338902735</v>
      </c>
      <c r="M177" s="521">
        <f>QDA!M177*M$165*$R177/1000</f>
        <v>0</v>
      </c>
      <c r="N177" s="521">
        <f>QDA!N177*N$165*$R177/1000</f>
        <v>474.83199451212693</v>
      </c>
      <c r="O177" s="10">
        <f>SUM(C177:N177)+SUM(C177:N177)*IF('Painel de Controle'!$D$45="Aditivo3",-'Levantamento eixo suspenso ADT3'!$I$16,-'Eixo Suspenso Pleito 6'!$D$20)</f>
        <v>18452.126884624406</v>
      </c>
      <c r="R177" s="315">
        <f>QD0!P18</f>
        <v>4.9375608950411713</v>
      </c>
    </row>
    <row r="178" spans="1:18">
      <c r="A178" s="126">
        <v>2024</v>
      </c>
      <c r="B178" s="497">
        <v>13</v>
      </c>
      <c r="C178" s="521">
        <f>QDA!C178*C$165*$R178/1000</f>
        <v>6833.0529968567535</v>
      </c>
      <c r="D178" s="521">
        <f>QDA!D178*D$165*$R178/1000</f>
        <v>5085.9248057806526</v>
      </c>
      <c r="E178" s="521">
        <f>QDA!E178*E$165*$R178/1000</f>
        <v>2289.0183840735422</v>
      </c>
      <c r="F178" s="521">
        <f>QDA!F178*F$165*$R178/1000</f>
        <v>167.70703874264316</v>
      </c>
      <c r="G178" s="521">
        <f>QDA!G178*G$165*$R178/1000</f>
        <v>4266.3748109206563</v>
      </c>
      <c r="H178" s="521">
        <f>QDA!H178*H$165*$R178/1000</f>
        <v>1108.3630418127314</v>
      </c>
      <c r="I178" s="521">
        <f>QDA!I178*I$165*$R178/1000</f>
        <v>636.72198024085878</v>
      </c>
      <c r="J178" s="521">
        <f>QDA!J178*J$165*$R178/1000</f>
        <v>68.104479639258543</v>
      </c>
      <c r="K178" s="521">
        <f>QDA!K178*K$165*$R178/1000</f>
        <v>0</v>
      </c>
      <c r="L178" s="521">
        <f>QDA!L178*L$165*$R178/1000</f>
        <v>14.311479569911253</v>
      </c>
      <c r="M178" s="521">
        <f>QDA!M178*M$165*$R178/1000</f>
        <v>0</v>
      </c>
      <c r="N178" s="521">
        <f>QDA!N178*N$165*$R178/1000</f>
        <v>501.3766802645423</v>
      </c>
      <c r="O178" s="10">
        <f>SUM(C178:N178)+SUM(C178:N178)*IF('Painel de Controle'!$D$45="Aditivo3",-'Levantamento eixo suspenso ADT3'!$I$16,-'Eixo Suspenso Pleito 6'!$D$20)</f>
        <v>19287.79990787285</v>
      </c>
      <c r="R178" s="315">
        <f>QD0!P19</f>
        <v>4.9399691367167016</v>
      </c>
    </row>
    <row r="179" spans="1:18">
      <c r="A179" s="126">
        <v>2025</v>
      </c>
      <c r="B179" s="497">
        <v>14</v>
      </c>
      <c r="C179" s="521">
        <f>QDA!C179*C$165*$R179/1000</f>
        <v>7198.0006961868003</v>
      </c>
      <c r="D179" s="521">
        <f>QDA!D179*D$165*$R179/1000</f>
        <v>5345.1031560473011</v>
      </c>
      <c r="E179" s="521">
        <f>QDA!E179*E$165*$R179/1000</f>
        <v>2349.2565384147224</v>
      </c>
      <c r="F179" s="521">
        <f>QDA!F179*F$165*$R179/1000</f>
        <v>173.54567634728173</v>
      </c>
      <c r="G179" s="521">
        <f>QDA!G179*G$165*$R179/1000</f>
        <v>4415.2748366562291</v>
      </c>
      <c r="H179" s="521">
        <f>QDA!H179*H$165*$R179/1000</f>
        <v>1147.0892976043806</v>
      </c>
      <c r="I179" s="521">
        <f>QDA!I179*I$165*$R179/1000</f>
        <v>658.95416194125812</v>
      </c>
      <c r="J179" s="521">
        <f>QDA!J179*J$165*$R179/1000</f>
        <v>70.490117631062574</v>
      </c>
      <c r="K179" s="521">
        <f>QDA!K179*K$165*$R179/1000</f>
        <v>0</v>
      </c>
      <c r="L179" s="521">
        <f>QDA!L179*L$165*$R179/1000</f>
        <v>15.07584383657956</v>
      </c>
      <c r="M179" s="521">
        <f>QDA!M179*M$165*$R179/1000</f>
        <v>0</v>
      </c>
      <c r="N179" s="521">
        <f>QDA!N179*N$165*$R179/1000</f>
        <v>528.15479336339456</v>
      </c>
      <c r="O179" s="10">
        <f>SUM(C179:N179)+SUM(C179:N179)*IF('Painel de Controle'!$D$45="Aditivo3",-'Levantamento eixo suspenso ADT3'!$I$16,-'Eixo Suspenso Pleito 6'!$D$20)</f>
        <v>20143.147184852318</v>
      </c>
      <c r="R179" s="315">
        <f>QD0!P20</f>
        <v>4.9404507850518078</v>
      </c>
    </row>
    <row r="180" spans="1:18">
      <c r="A180" s="126">
        <v>2026</v>
      </c>
      <c r="B180" s="497">
        <v>15</v>
      </c>
      <c r="C180" s="521">
        <f>QDA!C180*C$165*$R180/1000</f>
        <v>7278.8993540142765</v>
      </c>
      <c r="D180" s="521">
        <f>QDA!D180*D$165*$R180/1000</f>
        <v>5394.405388657754</v>
      </c>
      <c r="E180" s="521">
        <f>QDA!E180*E$165*$R180/1000</f>
        <v>2322.0317231644967</v>
      </c>
      <c r="F180" s="521">
        <f>QDA!F180*F$165*$R180/1000</f>
        <v>172.86208336885949</v>
      </c>
      <c r="G180" s="521">
        <f>QDA!G180*G$165*$R180/1000</f>
        <v>4398.2226528804431</v>
      </c>
      <c r="H180" s="521">
        <f>QDA!H180*H$165*$R180/1000</f>
        <v>1142.6991992629282</v>
      </c>
      <c r="I180" s="521">
        <f>QDA!I180*I$165*$R180/1000</f>
        <v>656.41849085133322</v>
      </c>
      <c r="J180" s="521">
        <f>QDA!J180*J$165*$R180/1000</f>
        <v>70.225929849854552</v>
      </c>
      <c r="K180" s="521">
        <f>QDA!K180*K$165*$R180/1000</f>
        <v>0</v>
      </c>
      <c r="L180" s="521">
        <f>QDA!L180*L$165*$R180/1000</f>
        <v>15.245281932444433</v>
      </c>
      <c r="M180" s="521">
        <f>QDA!M180*M$165*$R180/1000</f>
        <v>0</v>
      </c>
      <c r="N180" s="521">
        <f>QDA!N180*N$165*$R180/1000</f>
        <v>534.09074915329643</v>
      </c>
      <c r="O180" s="10">
        <f>SUM(C180:N180)+SUM(C180:N180)*IF('Painel de Controle'!$D$45="Aditivo3",-'Levantamento eixo suspenso ADT3'!$I$16,-'Eixo Suspenso Pleito 6'!$D$20)</f>
        <v>20220.548472767867</v>
      </c>
      <c r="R180" s="315">
        <f>QD0!P21</f>
        <v>4.7525160660998287</v>
      </c>
    </row>
    <row r="181" spans="1:18">
      <c r="A181" s="126">
        <v>2027</v>
      </c>
      <c r="B181" s="497">
        <v>16</v>
      </c>
      <c r="C181" s="521">
        <f>QDA!C181*C$165*$R181/1000</f>
        <v>7636.7055682170503</v>
      </c>
      <c r="D181" s="521">
        <f>QDA!D181*D$165*$R181/1000</f>
        <v>5649.9454798230499</v>
      </c>
      <c r="E181" s="521">
        <f>QDA!E181*E$165*$R181/1000</f>
        <v>2388.2258550491028</v>
      </c>
      <c r="F181" s="521">
        <f>QDA!F181*F$165*$R181/1000</f>
        <v>179.07074928536505</v>
      </c>
      <c r="G181" s="521">
        <f>QDA!G181*G$165*$R181/1000</f>
        <v>4556.5173535290387</v>
      </c>
      <c r="H181" s="521">
        <f>QDA!H181*H$165*$R181/1000</f>
        <v>1183.8639009995004</v>
      </c>
      <c r="I181" s="521">
        <f>QDA!I181*I$165*$R181/1000</f>
        <v>680.05224292610217</v>
      </c>
      <c r="J181" s="521">
        <f>QDA!J181*J$165*$R181/1000</f>
        <v>72.761093646859521</v>
      </c>
      <c r="K181" s="521">
        <f>QDA!K181*K$165*$R181/1000</f>
        <v>0</v>
      </c>
      <c r="L181" s="521">
        <f>QDA!L181*L$165*$R181/1000</f>
        <v>15.994688724240991</v>
      </c>
      <c r="M181" s="521">
        <f>QDA!M181*M$165*$R181/1000</f>
        <v>0</v>
      </c>
      <c r="N181" s="521">
        <f>QDA!N181*N$165*$R181/1000</f>
        <v>560.34485430037103</v>
      </c>
      <c r="O181" s="10">
        <f>SUM(C181:N181)+SUM(C181:N181)*IF('Painel de Controle'!$D$45="Aditivo3",-'Levantamento eixo suspenso ADT3'!$I$16,-'Eixo Suspenso Pleito 6'!$D$20)</f>
        <v>21083.613749374126</v>
      </c>
      <c r="R181" s="315">
        <f>QD0!P22</f>
        <v>4.7525160660998287</v>
      </c>
    </row>
    <row r="182" spans="1:18">
      <c r="A182" s="126">
        <v>2028</v>
      </c>
      <c r="B182" s="497">
        <v>17</v>
      </c>
      <c r="C182" s="521">
        <f>QDA!C182*C$165*$R182/1000</f>
        <v>7996.8598946025731</v>
      </c>
      <c r="D182" s="521">
        <f>QDA!D182*D$165*$R182/1000</f>
        <v>5907.8418293775076</v>
      </c>
      <c r="E182" s="521">
        <f>QDA!E182*E$165*$R182/1000</f>
        <v>2458.2352262397812</v>
      </c>
      <c r="F182" s="521">
        <f>QDA!F182*F$165*$R182/1000</f>
        <v>185.55277791260161</v>
      </c>
      <c r="G182" s="521">
        <f>QDA!G182*G$165*$R182/1000</f>
        <v>4721.7639009647228</v>
      </c>
      <c r="H182" s="521">
        <f>QDA!H182*H$165*$R182/1000</f>
        <v>1226.8343481457032</v>
      </c>
      <c r="I182" s="521">
        <f>QDA!I182*I$165*$R182/1000</f>
        <v>704.72343781540053</v>
      </c>
      <c r="J182" s="521">
        <f>QDA!J182*J$165*$R182/1000</f>
        <v>75.407174585009784</v>
      </c>
      <c r="K182" s="521">
        <f>QDA!K182*K$165*$R182/1000</f>
        <v>0</v>
      </c>
      <c r="L182" s="521">
        <f>QDA!L182*L$165*$R182/1000</f>
        <v>16.749013516753593</v>
      </c>
      <c r="M182" s="521">
        <f>QDA!M182*M$165*$R182/1000</f>
        <v>0</v>
      </c>
      <c r="N182" s="521">
        <f>QDA!N182*N$165*$R182/1000</f>
        <v>586.77125266566259</v>
      </c>
      <c r="O182" s="10">
        <f>SUM(C182:N182)+SUM(C182:N182)*IF('Painel de Controle'!$D$45="Aditivo3",-'Levantamento eixo suspenso ADT3'!$I$16,-'Eixo Suspenso Pleito 6'!$D$20)</f>
        <v>21964.040139068202</v>
      </c>
      <c r="R182" s="315">
        <f>QD0!P23</f>
        <v>4.7525160660998287</v>
      </c>
    </row>
    <row r="183" spans="1:18">
      <c r="A183" s="126">
        <v>2029</v>
      </c>
      <c r="B183" s="497">
        <v>18</v>
      </c>
      <c r="C183" s="521">
        <f>QDA!C183*C$165*$R183/1000</f>
        <v>8359.1806834018771</v>
      </c>
      <c r="D183" s="521">
        <f>QDA!D183*D$165*$R183/1000</f>
        <v>6167.9558553797833</v>
      </c>
      <c r="E183" s="521">
        <f>QDA!E183*E$165*$R183/1000</f>
        <v>2531.9821527224185</v>
      </c>
      <c r="F183" s="521">
        <f>QDA!F183*F$165*$R183/1000</f>
        <v>192.30392697639036</v>
      </c>
      <c r="G183" s="521">
        <f>QDA!G183*G$165*$R183/1000</f>
        <v>4893.8547359033855</v>
      </c>
      <c r="H183" s="521">
        <f>QDA!H183*H$165*$R183/1000</f>
        <v>1271.5826405389473</v>
      </c>
      <c r="I183" s="521">
        <f>QDA!I183*I$165*$R183/1000</f>
        <v>730.41603304403952</v>
      </c>
      <c r="J183" s="521">
        <f>QDA!J183*J$165*$R183/1000</f>
        <v>78.162464268780795</v>
      </c>
      <c r="K183" s="521">
        <f>QDA!K183*K$165*$R183/1000</f>
        <v>0</v>
      </c>
      <c r="L183" s="521">
        <f>QDA!L183*L$165*$R183/1000</f>
        <v>17.507875853843711</v>
      </c>
      <c r="M183" s="521">
        <f>QDA!M183*M$165*$R183/1000</f>
        <v>0</v>
      </c>
      <c r="N183" s="521">
        <f>QDA!N183*N$165*$R183/1000</f>
        <v>613.35661565971361</v>
      </c>
      <c r="O183" s="10">
        <f>SUM(C183:N183)+SUM(C183:N183)*IF('Painel de Controle'!$D$45="Aditivo3",-'Levantamento eixo suspenso ADT3'!$I$16,-'Eixo Suspenso Pleito 6'!$D$20)</f>
        <v>22861.304239367135</v>
      </c>
      <c r="R183" s="315">
        <f>QD0!P24</f>
        <v>4.7525160660998287</v>
      </c>
    </row>
    <row r="184" spans="1:18">
      <c r="A184" s="126">
        <v>2030</v>
      </c>
      <c r="B184" s="497">
        <v>19</v>
      </c>
      <c r="C184" s="521">
        <f>QDA!C184*C$165*$R184/1000</f>
        <v>8723.5952483634665</v>
      </c>
      <c r="D184" s="521">
        <f>QDA!D184*D$165*$R184/1000</f>
        <v>6430.2305703590464</v>
      </c>
      <c r="E184" s="521">
        <f>QDA!E184*E$165*$R184/1000</f>
        <v>2609.4278954456131</v>
      </c>
      <c r="F184" s="521">
        <f>QDA!F184*F$165*$R184/1000</f>
        <v>199.32303896534742</v>
      </c>
      <c r="G184" s="521">
        <f>QDA!G184*G$165*$R184/1000</f>
        <v>5072.7608300994752</v>
      </c>
      <c r="H184" s="521">
        <f>QDA!H184*H$165*$R184/1000</f>
        <v>1318.1012862758359</v>
      </c>
      <c r="I184" s="521">
        <f>QDA!I184*I$165*$R184/1000</f>
        <v>757.12570779908697</v>
      </c>
      <c r="J184" s="521">
        <f>QDA!J184*J$165*$R184/1000</f>
        <v>81.026509236800322</v>
      </c>
      <c r="K184" s="521">
        <f>QDA!K184*K$165*$R184/1000</f>
        <v>0</v>
      </c>
      <c r="L184" s="521">
        <f>QDA!L184*L$165*$R184/1000</f>
        <v>18.27112349787998</v>
      </c>
      <c r="M184" s="521">
        <f>QDA!M184*M$165*$R184/1000</f>
        <v>0</v>
      </c>
      <c r="N184" s="521">
        <f>QDA!N184*N$165*$R184/1000</f>
        <v>640.09560991375167</v>
      </c>
      <c r="O184" s="10">
        <f>SUM(C184:N184)+SUM(C184:N184)*IF('Painel de Controle'!$D$45="Aditivo3",-'Levantamento eixo suspenso ADT3'!$I$16,-'Eixo Suspenso Pleito 6'!$D$20)</f>
        <v>23775.207064509763</v>
      </c>
      <c r="R184" s="315">
        <f>QD0!P25</f>
        <v>4.7525160660998287</v>
      </c>
    </row>
    <row r="185" spans="1:18">
      <c r="A185" s="126">
        <v>2031</v>
      </c>
      <c r="B185" s="497">
        <v>20</v>
      </c>
      <c r="C185" s="521">
        <f>QDA!C185*C$165*$R185/1000</f>
        <v>9089.7646493603806</v>
      </c>
      <c r="D185" s="521">
        <f>QDA!D185*D$165*$R185/1000</f>
        <v>6696.132256281041</v>
      </c>
      <c r="E185" s="521">
        <f>QDA!E185*E$165*$R185/1000</f>
        <v>2699.0139529302123</v>
      </c>
      <c r="F185" s="521">
        <f>QDA!F185*F$165*$R185/1000</f>
        <v>207.09253254314069</v>
      </c>
      <c r="G185" s="521">
        <f>QDA!G185*G$165*$R185/1000</f>
        <v>5270.7187678484343</v>
      </c>
      <c r="H185" s="521">
        <f>QDA!H185*H$165*$R185/1000</f>
        <v>1369.5649974501175</v>
      </c>
      <c r="I185" s="521">
        <f>QDA!I185*I$165*$R185/1000</f>
        <v>786.67769379254923</v>
      </c>
      <c r="J185" s="521">
        <f>QDA!J185*J$165*$R185/1000</f>
        <v>84.193792045859126</v>
      </c>
      <c r="K185" s="521">
        <f>QDA!K185*K$165*$R185/1000</f>
        <v>0</v>
      </c>
      <c r="L185" s="521">
        <f>QDA!L185*L$165*$R185/1000</f>
        <v>19.038046556124165</v>
      </c>
      <c r="M185" s="521">
        <f>QDA!M185*M$165*$R185/1000</f>
        <v>0</v>
      </c>
      <c r="N185" s="521">
        <f>QDA!N185*N$165*$R185/1000</f>
        <v>666.96336562569195</v>
      </c>
      <c r="O185" s="10">
        <f>SUM(C185:N185)+SUM(C185:N185)*IF('Painel de Controle'!$D$45="Aditivo3",-'Levantamento eixo suspenso ADT3'!$I$16,-'Eixo Suspenso Pleito 6'!$D$20)</f>
        <v>24731.001595343525</v>
      </c>
      <c r="R185" s="315">
        <f>QD0!P26</f>
        <v>4.7525160660998287</v>
      </c>
    </row>
    <row r="186" spans="1:18">
      <c r="A186" s="126">
        <v>2032</v>
      </c>
      <c r="B186" s="497">
        <v>21</v>
      </c>
      <c r="C186" s="521">
        <f>QDA!C186*C$165*$R186/1000</f>
        <v>9457.0156816457493</v>
      </c>
      <c r="D186" s="521">
        <f>QDA!D186*D$165*$R186/1000</f>
        <v>6966.8676229383018</v>
      </c>
      <c r="E186" s="521">
        <f>QDA!E186*E$165*$R186/1000</f>
        <v>2809.0162188620184</v>
      </c>
      <c r="F186" s="521">
        <f>QDA!F186*F$165*$R186/1000</f>
        <v>216.08294825884801</v>
      </c>
      <c r="G186" s="521">
        <f>QDA!G186*G$165*$R186/1000</f>
        <v>5499.6630383264746</v>
      </c>
      <c r="H186" s="521">
        <f>QDA!H186*H$165*$R186/1000</f>
        <v>1429.0700139120611</v>
      </c>
      <c r="I186" s="521">
        <f>QDA!I186*I$165*$R186/1000</f>
        <v>820.85213959817395</v>
      </c>
      <c r="J186" s="521">
        <f>QDA!J186*J$165*$R186/1000</f>
        <v>87.853974724433641</v>
      </c>
      <c r="K186" s="521">
        <f>QDA!K186*K$165*$R186/1000</f>
        <v>0</v>
      </c>
      <c r="L186" s="521">
        <f>QDA!L186*L$165*$R186/1000</f>
        <v>19.80723503570988</v>
      </c>
      <c r="M186" s="521">
        <f>QDA!M186*M$165*$R186/1000</f>
        <v>0</v>
      </c>
      <c r="N186" s="521">
        <f>QDA!N186*N$165*$R186/1000</f>
        <v>693.91048625766496</v>
      </c>
      <c r="O186" s="10">
        <f>SUM(C186:N186)+SUM(C186:N186)*IF('Painel de Controle'!$D$45="Aditivo3",-'Levantamento eixo suspenso ADT3'!$I$16,-'Eixo Suspenso Pleito 6'!$D$20)</f>
        <v>25752.812277114215</v>
      </c>
      <c r="R186" s="315">
        <f>QD0!P27</f>
        <v>4.7525160660998287</v>
      </c>
    </row>
    <row r="187" spans="1:18">
      <c r="A187" s="126">
        <v>2033</v>
      </c>
      <c r="B187" s="497">
        <v>22</v>
      </c>
      <c r="C187" s="521">
        <f>QDA!C187*C$165*$R187/1000</f>
        <v>9824.5853296196128</v>
      </c>
      <c r="D187" s="521">
        <f>QDA!D187*D$165*$R187/1000</f>
        <v>7238.1967437674402</v>
      </c>
      <c r="E187" s="521">
        <f>QDA!E187*E$165*$R187/1000</f>
        <v>2920.8996971561342</v>
      </c>
      <c r="F187" s="521">
        <f>QDA!F187*F$165*$R187/1000</f>
        <v>225.22959847070257</v>
      </c>
      <c r="G187" s="521">
        <f>QDA!G187*G$165*$R187/1000</f>
        <v>5732.5858781916295</v>
      </c>
      <c r="H187" s="521">
        <f>QDA!H187*H$165*$R187/1000</f>
        <v>1489.6091022744752</v>
      </c>
      <c r="I187" s="521">
        <f>QDA!I187*I$165*$R187/1000</f>
        <v>855.62046531885301</v>
      </c>
      <c r="J187" s="521">
        <f>QDA!J187*J$165*$R187/1000</f>
        <v>91.577763671580939</v>
      </c>
      <c r="K187" s="521">
        <f>QDA!K187*K$165*$R187/1000</f>
        <v>0</v>
      </c>
      <c r="L187" s="521">
        <f>QDA!L187*L$165*$R187/1000</f>
        <v>20.577090839538311</v>
      </c>
      <c r="M187" s="521">
        <f>QDA!M187*M$165*$R187/1000</f>
        <v>0</v>
      </c>
      <c r="N187" s="521">
        <f>QDA!N187*N$165*$R187/1000</f>
        <v>720.88098538183658</v>
      </c>
      <c r="O187" s="10">
        <f>SUM(C187:N187)+SUM(C187:N187)*IF('Painel de Controle'!$D$45="Aditivo3",-'Levantamento eixo suspenso ADT3'!$I$16,-'Eixo Suspenso Pleito 6'!$D$20)</f>
        <v>26782.57317117148</v>
      </c>
      <c r="R187" s="315">
        <f>QD0!P28</f>
        <v>4.7525160660998287</v>
      </c>
    </row>
    <row r="188" spans="1:18">
      <c r="A188" s="126">
        <v>2034</v>
      </c>
      <c r="B188" s="497">
        <v>23</v>
      </c>
      <c r="C188" s="521">
        <f>QDA!C188*C$165*$R188/1000</f>
        <v>10191.785731652211</v>
      </c>
      <c r="D188" s="521">
        <f>QDA!D188*D$165*$R188/1000</f>
        <v>7509.6250390303476</v>
      </c>
      <c r="E188" s="521">
        <f>QDA!E188*E$165*$R188/1000</f>
        <v>3034.5205938907084</v>
      </c>
      <c r="F188" s="521">
        <f>QDA!F188*F$165*$R188/1000</f>
        <v>234.52081757507898</v>
      </c>
      <c r="G188" s="521">
        <f>QDA!G188*G$165*$R188/1000</f>
        <v>5969.1902185211529</v>
      </c>
      <c r="H188" s="521">
        <f>QDA!H188*H$165*$R188/1000</f>
        <v>1551.1050512094628</v>
      </c>
      <c r="I188" s="521">
        <f>QDA!I188*I$165*$R188/1000</f>
        <v>890.93832756141319</v>
      </c>
      <c r="J188" s="521">
        <f>QDA!J188*J$165*$R188/1000</f>
        <v>95.3604095807422</v>
      </c>
      <c r="K188" s="521">
        <f>QDA!K188*K$165*$R188/1000</f>
        <v>0</v>
      </c>
      <c r="L188" s="521">
        <f>QDA!L188*L$165*$R188/1000</f>
        <v>21.346173276652461</v>
      </c>
      <c r="M188" s="521">
        <f>QDA!M188*M$165*$R188/1000</f>
        <v>0</v>
      </c>
      <c r="N188" s="521">
        <f>QDA!N188*N$165*$R188/1000</f>
        <v>747.82439100851593</v>
      </c>
      <c r="O188" s="10">
        <f>SUM(C188:N188)+SUM(C188:N188)*IF('Painel de Controle'!$D$45="Aditivo3",-'Levantamento eixo suspenso ADT3'!$I$16,-'Eixo Suspenso Pleito 6'!$D$20)</f>
        <v>27818.616619665983</v>
      </c>
      <c r="R188" s="315">
        <f>QD0!P29</f>
        <v>4.7525160660998287</v>
      </c>
    </row>
    <row r="189" spans="1:18">
      <c r="A189" s="126">
        <v>2035</v>
      </c>
      <c r="B189" s="497">
        <v>24</v>
      </c>
      <c r="C189" s="521">
        <f>QDA!C189*C$165*$R189/1000</f>
        <v>10557.835026544888</v>
      </c>
      <c r="D189" s="521">
        <f>QDA!D189*D$165*$R189/1000</f>
        <v>7780.5876236867171</v>
      </c>
      <c r="E189" s="521">
        <f>QDA!E189*E$165*$R189/1000</f>
        <v>3149.7019369294626</v>
      </c>
      <c r="F189" s="521">
        <f>QDA!F189*F$165*$R189/1000</f>
        <v>243.94222134684793</v>
      </c>
      <c r="G189" s="521">
        <f>QDA!G189*G$165*$R189/1000</f>
        <v>6209.1097596874433</v>
      </c>
      <c r="H189" s="521">
        <f>QDA!H189*H$165*$R189/1000</f>
        <v>1613.4626556030232</v>
      </c>
      <c r="I189" s="521">
        <f>QDA!I189*I$165*$R189/1000</f>
        <v>926.75104888515591</v>
      </c>
      <c r="J189" s="521">
        <f>QDA!J189*J$165*$R189/1000</f>
        <v>99.196056338771172</v>
      </c>
      <c r="K189" s="521">
        <f>QDA!K189*K$165*$R189/1000</f>
        <v>0</v>
      </c>
      <c r="L189" s="521">
        <f>QDA!L189*L$165*$R189/1000</f>
        <v>22.112844778812153</v>
      </c>
      <c r="M189" s="521">
        <f>QDA!M189*M$165*$R189/1000</f>
        <v>0</v>
      </c>
      <c r="N189" s="521">
        <f>QDA!N189*N$165*$R189/1000</f>
        <v>774.68333391015756</v>
      </c>
      <c r="O189" s="10">
        <f>SUM(C189:N189)+SUM(C189:N189)*IF('Painel de Controle'!$D$45="Aditivo3",-'Levantamento eixo suspenso ADT3'!$I$16,-'Eixo Suspenso Pleito 6'!$D$20)</f>
        <v>28858.993560416697</v>
      </c>
      <c r="R189" s="315">
        <f>QD0!P30</f>
        <v>4.7525160660998287</v>
      </c>
    </row>
    <row r="190" spans="1:18">
      <c r="A190" s="126">
        <v>2036</v>
      </c>
      <c r="B190" s="497">
        <v>25</v>
      </c>
      <c r="C190" s="521">
        <f>QDA!C190*C$165*$R190/1000</f>
        <v>10921.896835094311</v>
      </c>
      <c r="D190" s="521">
        <f>QDA!D190*D$165*$R190/1000</f>
        <v>8050.4781025122229</v>
      </c>
      <c r="E190" s="521">
        <f>QDA!E190*E$165*$R190/1000</f>
        <v>3266.2438568855109</v>
      </c>
      <c r="F190" s="521">
        <f>QDA!F190*F$165*$R190/1000</f>
        <v>253.47754504693955</v>
      </c>
      <c r="G190" s="521">
        <f>QDA!G190*G$165*$R190/1000</f>
        <v>6451.9303140779839</v>
      </c>
      <c r="H190" s="521">
        <f>QDA!H190*H$165*$R190/1000</f>
        <v>1676.5742637517544</v>
      </c>
      <c r="I190" s="521">
        <f>QDA!I190*I$165*$R190/1000</f>
        <v>962.99680362356526</v>
      </c>
      <c r="J190" s="521">
        <f>QDA!J190*J$165*$R190/1000</f>
        <v>103.07808223671719</v>
      </c>
      <c r="K190" s="521">
        <f>QDA!K190*K$165*$R190/1000</f>
        <v>0</v>
      </c>
      <c r="L190" s="521">
        <f>QDA!L190*L$165*$R190/1000</f>
        <v>22.875353592608377</v>
      </c>
      <c r="M190" s="521">
        <f>QDA!M190*M$165*$R190/1000</f>
        <v>0</v>
      </c>
      <c r="N190" s="521">
        <f>QDA!N190*N$165*$R190/1000</f>
        <v>801.39644458931957</v>
      </c>
      <c r="O190" s="10">
        <f>SUM(C190:N190)+SUM(C190:N190)*IF('Painel de Controle'!$D$45="Aditivo3",-'Levantamento eixo suspenso ADT3'!$I$16,-'Eixo Suspenso Pleito 6'!$D$20)</f>
        <v>29901.577266414217</v>
      </c>
      <c r="R190" s="315">
        <f>QD0!P31</f>
        <v>4.7525160660998287</v>
      </c>
    </row>
    <row r="191" spans="1:18">
      <c r="A191" s="126">
        <v>2037</v>
      </c>
      <c r="B191" s="497">
        <v>26</v>
      </c>
      <c r="C191" s="521">
        <f>QDA!C191*C$165*$R191/1000</f>
        <v>11283.0294041012</v>
      </c>
      <c r="D191" s="521">
        <f>QDA!D191*D$165*$R191/1000</f>
        <v>8318.6104922615577</v>
      </c>
      <c r="E191" s="521">
        <f>QDA!E191*E$165*$R191/1000</f>
        <v>3383.9054328794532</v>
      </c>
      <c r="F191" s="521">
        <f>QDA!F191*F$165*$R191/1000</f>
        <v>263.10715562364555</v>
      </c>
      <c r="G191" s="521">
        <f>QDA!G191*G$165*$R191/1000</f>
        <v>6697.1519187497061</v>
      </c>
      <c r="H191" s="521">
        <f>QDA!H191*H$165*$R191/1000</f>
        <v>1740.309930044458</v>
      </c>
      <c r="I191" s="521">
        <f>QDA!I191*I$165*$R191/1000</f>
        <v>999.60096245105501</v>
      </c>
      <c r="J191" s="521">
        <f>QDA!J191*J$165*$R191/1000</f>
        <v>106.99849425645269</v>
      </c>
      <c r="K191" s="521">
        <f>QDA!K191*K$165*$R191/1000</f>
        <v>0</v>
      </c>
      <c r="L191" s="521">
        <f>QDA!L191*L$165*$R191/1000</f>
        <v>23.631727264193998</v>
      </c>
      <c r="M191" s="521">
        <f>QDA!M191*M$165*$R191/1000</f>
        <v>0</v>
      </c>
      <c r="N191" s="521">
        <f>QDA!N191*N$165*$R191/1000</f>
        <v>827.89462170976219</v>
      </c>
      <c r="O191" s="10">
        <f>SUM(C191:N191)+SUM(C191:N191)*IF('Painel de Controle'!$D$45="Aditivo3",-'Levantamento eixo suspenso ADT3'!$I$16,-'Eixo Suspenso Pleito 6'!$D$20)</f>
        <v>30943.910292318105</v>
      </c>
      <c r="R191" s="315">
        <f>QD0!P32</f>
        <v>4.7525160660998287</v>
      </c>
    </row>
    <row r="192" spans="1:18">
      <c r="A192" s="126">
        <v>2038</v>
      </c>
      <c r="B192" s="497">
        <v>27</v>
      </c>
      <c r="C192" s="521">
        <f>QDA!C192*C$165*$R192/1000</f>
        <v>11640.167049778289</v>
      </c>
      <c r="D192" s="521">
        <f>QDA!D192*D$165*$R192/1000</f>
        <v>8584.2048840112548</v>
      </c>
      <c r="E192" s="521">
        <f>QDA!E192*E$165*$R192/1000</f>
        <v>3502.3958608253788</v>
      </c>
      <c r="F192" s="521">
        <f>QDA!F192*F$165*$R192/1000</f>
        <v>272.80732534846982</v>
      </c>
      <c r="G192" s="521">
        <f>QDA!G192*G$165*$R192/1000</f>
        <v>6944.1703382965434</v>
      </c>
      <c r="H192" s="521">
        <f>QDA!H192*H$165*$R192/1000</f>
        <v>1804.5126073634685</v>
      </c>
      <c r="I192" s="521">
        <f>QDA!I192*I$165*$R192/1000</f>
        <v>1036.4733313212955</v>
      </c>
      <c r="J192" s="521">
        <f>QDA!J192*J$165*$R192/1000</f>
        <v>110.94763235292632</v>
      </c>
      <c r="K192" s="521">
        <f>QDA!K192*K$165*$R192/1000</f>
        <v>0</v>
      </c>
      <c r="L192" s="521">
        <f>QDA!L192*L$165*$R192/1000</f>
        <v>24.379733773452013</v>
      </c>
      <c r="M192" s="521">
        <f>QDA!M192*M$165*$R192/1000</f>
        <v>0</v>
      </c>
      <c r="N192" s="521">
        <f>QDA!N192*N$165*$R192/1000</f>
        <v>854.09967050265766</v>
      </c>
      <c r="O192" s="10">
        <f>SUM(C192:N192)+SUM(C192:N192)*IF('Painel de Controle'!$D$45="Aditivo3",-'Levantamento eixo suspenso ADT3'!$I$16,-'Eixo Suspenso Pleito 6'!$D$20)</f>
        <v>31983.139895648826</v>
      </c>
      <c r="R192" s="315">
        <f>QD0!P33</f>
        <v>4.7525160660998287</v>
      </c>
    </row>
    <row r="193" spans="1:33">
      <c r="A193" s="126">
        <v>2039</v>
      </c>
      <c r="B193" s="497">
        <v>28</v>
      </c>
      <c r="C193" s="521">
        <f>QDA!C193*C$165*$R193/1000</f>
        <v>11992.169494517553</v>
      </c>
      <c r="D193" s="521">
        <f>QDA!D193*D$165*$R193/1000</f>
        <v>8846.4233232659044</v>
      </c>
      <c r="E193" s="521">
        <f>QDA!E193*E$165*$R193/1000</f>
        <v>3621.3867895655526</v>
      </c>
      <c r="F193" s="521">
        <f>QDA!F193*F$165*$R193/1000</f>
        <v>282.55123664404374</v>
      </c>
      <c r="G193" s="521">
        <f>QDA!G193*G$165*$R193/1000</f>
        <v>7192.3026531649675</v>
      </c>
      <c r="H193" s="521">
        <f>QDA!H193*H$165*$R193/1000</f>
        <v>1869.0047977561599</v>
      </c>
      <c r="I193" s="521">
        <f>QDA!I193*I$165*$R193/1000</f>
        <v>1073.5119710277581</v>
      </c>
      <c r="J193" s="521">
        <f>QDA!J193*J$165*$R193/1000</f>
        <v>114.91457854022178</v>
      </c>
      <c r="K193" s="521">
        <f>QDA!K193*K$165*$R193/1000</f>
        <v>0</v>
      </c>
      <c r="L193" s="521">
        <f>QDA!L193*L$165*$R193/1000</f>
        <v>25.11698486732794</v>
      </c>
      <c r="M193" s="521">
        <f>QDA!M193*M$165*$R193/1000</f>
        <v>0</v>
      </c>
      <c r="N193" s="521">
        <f>QDA!N193*N$165*$R193/1000</f>
        <v>879.92792286211704</v>
      </c>
      <c r="O193" s="10">
        <f>SUM(C193:N193)+SUM(C193:N193)*IF('Painel de Controle'!$D$45="Aditivo3",-'Levantamento eixo suspenso ADT3'!$I$16,-'Eixo Suspenso Pleito 6'!$D$20)</f>
        <v>33016.145649521961</v>
      </c>
      <c r="R193" s="315">
        <f>QD0!P34</f>
        <v>4.7525160660998287</v>
      </c>
    </row>
    <row r="194" spans="1:33">
      <c r="A194" s="126">
        <v>2040</v>
      </c>
      <c r="B194" s="497">
        <v>29</v>
      </c>
      <c r="C194" s="521">
        <f>QDA!C194*C$165*$R194/1000</f>
        <v>12337.743180155412</v>
      </c>
      <c r="D194" s="521">
        <f>QDA!D194*D$165*$R194/1000</f>
        <v>9104.3105771400842</v>
      </c>
      <c r="E194" s="521">
        <f>QDA!E194*E$165*$R194/1000</f>
        <v>3740.4826542101023</v>
      </c>
      <c r="F194" s="521">
        <f>QDA!F194*F$165*$R194/1000</f>
        <v>292.30654896417514</v>
      </c>
      <c r="G194" s="521">
        <f>QDA!G194*G$165*$R194/1000</f>
        <v>7440.7252993520497</v>
      </c>
      <c r="H194" s="521">
        <f>QDA!H194*H$165*$R194/1000</f>
        <v>1933.5724483028011</v>
      </c>
      <c r="I194" s="521">
        <f>QDA!I194*I$165*$R194/1000</f>
        <v>1110.5939484071594</v>
      </c>
      <c r="J194" s="521">
        <f>QDA!J194*J$165*$R194/1000</f>
        <v>118.88616631850958</v>
      </c>
      <c r="K194" s="521">
        <f>QDA!K194*K$165*$R194/1000</f>
        <v>0</v>
      </c>
      <c r="L194" s="521">
        <f>QDA!L194*L$165*$R194/1000</f>
        <v>25.840771254493408</v>
      </c>
      <c r="M194" s="521">
        <f>QDA!M194*M$165*$R194/1000</f>
        <v>0</v>
      </c>
      <c r="N194" s="521">
        <f>QDA!N194*N$165*$R194/1000</f>
        <v>905.28446368970788</v>
      </c>
      <c r="O194" s="10">
        <f>SUM(C194:N194)+SUM(C194:N194)*IF('Painel de Controle'!$D$45="Aditivo3",-'Levantamento eixo suspenso ADT3'!$I$16,-'Eixo Suspenso Pleito 6'!$D$20)</f>
        <v>34039.296391025033</v>
      </c>
      <c r="R194" s="315">
        <f>QD0!P35</f>
        <v>4.7525160660998287</v>
      </c>
    </row>
    <row r="195" spans="1:33">
      <c r="A195" s="126">
        <v>2041</v>
      </c>
      <c r="B195" s="497">
        <v>30</v>
      </c>
      <c r="C195" s="521">
        <f>QDA!C195*C$165*$R195/1000</f>
        <v>12675.564824257119</v>
      </c>
      <c r="D195" s="521">
        <f>QDA!D195*D$165*$R195/1000</f>
        <v>9356.8853470132435</v>
      </c>
      <c r="E195" s="521">
        <f>QDA!E195*E$165*$R195/1000</f>
        <v>3859.2583200835343</v>
      </c>
      <c r="F195" s="521">
        <f>QDA!F195*F$165*$R195/1000</f>
        <v>302.0384762935592</v>
      </c>
      <c r="G195" s="521">
        <f>QDA!G195*G$165*$R195/1000</f>
        <v>7688.5524380769548</v>
      </c>
      <c r="H195" s="521">
        <f>QDA!H195*H$165*$R195/1000</f>
        <v>1997.9853202159081</v>
      </c>
      <c r="I195" s="521">
        <f>QDA!I195*I$165*$R195/1000</f>
        <v>1147.5870345579194</v>
      </c>
      <c r="J195" s="521">
        <f>QDA!J195*J$165*$R195/1000</f>
        <v>122.84823358731498</v>
      </c>
      <c r="K195" s="521">
        <f>QDA!K195*K$165*$R195/1000</f>
        <v>0</v>
      </c>
      <c r="L195" s="521">
        <f>QDA!L195*L$165*$R195/1000</f>
        <v>26.548321387656351</v>
      </c>
      <c r="M195" s="521">
        <f>QDA!M195*M$165*$R195/1000</f>
        <v>0</v>
      </c>
      <c r="N195" s="521">
        <f>QDA!N195*N$165*$R195/1000</f>
        <v>930.07219686244025</v>
      </c>
      <c r="O195" s="10">
        <f>SUM(C195:N195)+SUM(C195:N195)*IF('Painel de Controle'!$D$45="Aditivo3",-'Levantamento eixo suspenso ADT3'!$I$16,-'Eixo Suspenso Pleito 6'!$D$20)</f>
        <v>35048.79650747891</v>
      </c>
      <c r="R195" s="315">
        <f>QD0!P36</f>
        <v>4.7525160660998287</v>
      </c>
    </row>
    <row r="196" spans="1:33">
      <c r="A196" s="126">
        <v>2042</v>
      </c>
      <c r="B196" s="497">
        <v>31</v>
      </c>
      <c r="C196" s="521">
        <f>QDA!C196*C$165*$R196/1000</f>
        <v>13004.311206783139</v>
      </c>
      <c r="D196" s="521">
        <f>QDA!D196*D$165*$R196/1000</f>
        <v>9603.1619674227386</v>
      </c>
      <c r="E196" s="521">
        <f>QDA!E196*E$165*$R196/1000</f>
        <v>3977.2667125633284</v>
      </c>
      <c r="F196" s="521">
        <f>QDA!F196*F$165*$R196/1000</f>
        <v>311.71040893218822</v>
      </c>
      <c r="G196" s="521">
        <f>QDA!G196*G$165*$R196/1000</f>
        <v>7934.8517897515349</v>
      </c>
      <c r="H196" s="521">
        <f>QDA!H196*H$165*$R196/1000</f>
        <v>2062.0011042552287</v>
      </c>
      <c r="I196" s="521">
        <f>QDA!I196*I$165*$R196/1000</f>
        <v>1184.3520683724294</v>
      </c>
      <c r="J196" s="521">
        <f>QDA!J196*J$165*$R196/1000</f>
        <v>126.78587578670741</v>
      </c>
      <c r="K196" s="521">
        <f>QDA!K196*K$165*$R196/1000</f>
        <v>0</v>
      </c>
      <c r="L196" s="521">
        <f>QDA!L196*L$165*$R196/1000</f>
        <v>27.236863850208248</v>
      </c>
      <c r="M196" s="521">
        <f>QDA!M196*M$165*$R196/1000</f>
        <v>0</v>
      </c>
      <c r="N196" s="521">
        <f>QDA!N196*N$165*$R196/1000</f>
        <v>954.19403083558439</v>
      </c>
      <c r="O196" s="10">
        <f>SUM(C196:N196)+SUM(C196:N196)*IF('Painel de Controle'!$D$45="Aditivo3",-'Levantamento eixo suspenso ADT3'!$I$16,-'Eixo Suspenso Pleito 6'!$D$20)</f>
        <v>36040.763701478478</v>
      </c>
      <c r="R196" s="315">
        <f>QD0!P37</f>
        <v>4.7525160660998287</v>
      </c>
    </row>
    <row r="197" spans="1:33">
      <c r="A197" s="126">
        <v>2043</v>
      </c>
      <c r="B197" s="497">
        <v>32</v>
      </c>
      <c r="C197" s="521">
        <f>QDA!C197*C$165*$R197/1000</f>
        <v>13322.622765899796</v>
      </c>
      <c r="D197" s="521">
        <f>QDA!D197*D$165*$R197/1000</f>
        <v>9842.1227602568651</v>
      </c>
      <c r="E197" s="521">
        <f>QDA!E197*E$165*$R197/1000</f>
        <v>4094.0238880942352</v>
      </c>
      <c r="F197" s="521">
        <f>QDA!F197*F$165*$R197/1000</f>
        <v>321.28268775976119</v>
      </c>
      <c r="G197" s="521">
        <f>QDA!G197*G$165*$R197/1000</f>
        <v>8178.613420168941</v>
      </c>
      <c r="H197" s="521">
        <f>QDA!H197*H$165*$R197/1000</f>
        <v>2125.3573079308694</v>
      </c>
      <c r="I197" s="521">
        <f>QDA!I197*I$165*$R197/1000</f>
        <v>1220.7382972603425</v>
      </c>
      <c r="J197" s="521">
        <f>QDA!J197*J$165*$R197/1000</f>
        <v>130.68294687519509</v>
      </c>
      <c r="K197" s="521">
        <f>QDA!K197*K$165*$R197/1000</f>
        <v>0</v>
      </c>
      <c r="L197" s="521">
        <f>QDA!L197*L$165*$R197/1000</f>
        <v>27.903551109513892</v>
      </c>
      <c r="M197" s="521">
        <f>QDA!M197*M$165*$R197/1000</f>
        <v>0</v>
      </c>
      <c r="N197" s="521">
        <f>QDA!N197*N$165*$R197/1000</f>
        <v>977.55020747773187</v>
      </c>
      <c r="O197" s="10">
        <f>SUM(C197:N197)+SUM(C197:N197)*IF('Painel de Controle'!$D$45="Aditivo3",-'Levantamento eixo suspenso ADT3'!$I$16,-'Eixo Suspenso Pleito 6'!$D$20)</f>
        <v>37011.111782116248</v>
      </c>
      <c r="R197" s="315">
        <f>QD0!P38</f>
        <v>4.7525160660998287</v>
      </c>
    </row>
    <row r="198" spans="1:33">
      <c r="A198" s="126">
        <v>2044</v>
      </c>
      <c r="B198" s="497">
        <v>33</v>
      </c>
      <c r="C198" s="521">
        <f>QDA!C198*C$165*$R198/1000</f>
        <v>13629.260834106939</v>
      </c>
      <c r="D198" s="521">
        <f>QDA!D198*D$165*$R198/1000</f>
        <v>10072.835522903386</v>
      </c>
      <c r="E198" s="521">
        <f>QDA!E198*E$165*$R198/1000</f>
        <v>4209.063966132444</v>
      </c>
      <c r="F198" s="521">
        <f>QDA!F198*F$165*$R198/1000</f>
        <v>330.71710468833265</v>
      </c>
      <c r="G198" s="521">
        <f>QDA!G198*G$165*$R198/1000</f>
        <v>8418.8643461994034</v>
      </c>
      <c r="H198" s="521">
        <f>QDA!H198*H$165*$R198/1000</f>
        <v>2187.8010427253207</v>
      </c>
      <c r="I198" s="521">
        <f>QDA!I198*I$165*$R198/1000</f>
        <v>1256.6004843080266</v>
      </c>
      <c r="J198" s="521">
        <f>QDA!J198*J$165*$R198/1000</f>
        <v>134.52389155632667</v>
      </c>
      <c r="K198" s="521">
        <f>QDA!K198*K$165*$R198/1000</f>
        <v>0</v>
      </c>
      <c r="L198" s="521">
        <f>QDA!L198*L$165*$R198/1000</f>
        <v>28.545788839928438</v>
      </c>
      <c r="M198" s="521">
        <f>QDA!M198*M$165*$R198/1000</f>
        <v>0</v>
      </c>
      <c r="N198" s="521">
        <f>QDA!N198*N$165*$R198/1000</f>
        <v>1000.0498393042596</v>
      </c>
      <c r="O198" s="10">
        <f>SUM(C198:N198)+SUM(C198:N198)*IF('Painel de Controle'!$D$45="Aditivo3",-'Levantamento eixo suspenso ADT3'!$I$16,-'Eixo Suspenso Pleito 6'!$D$20)</f>
        <v>37956.019138987554</v>
      </c>
      <c r="R198" s="315">
        <f>QD0!P39</f>
        <v>4.7525160660998287</v>
      </c>
    </row>
    <row r="199" spans="1:33">
      <c r="A199" s="126">
        <v>2045</v>
      </c>
      <c r="B199" s="497">
        <v>34</v>
      </c>
      <c r="C199" s="521">
        <f>QDA!C199*C$165*$R199/1000</f>
        <v>13923.464217218623</v>
      </c>
      <c r="D199" s="521">
        <f>QDA!D199*D$165*$R199/1000</f>
        <v>10294.723099723258</v>
      </c>
      <c r="E199" s="521">
        <f>QDA!E199*E$165*$R199/1000</f>
        <v>4322.0792918811394</v>
      </c>
      <c r="F199" s="521">
        <f>QDA!F199*F$165*$R199/1000</f>
        <v>339.98840447721017</v>
      </c>
      <c r="G199" s="521">
        <f>QDA!G199*G$165*$R199/1000</f>
        <v>8654.9614337722651</v>
      </c>
      <c r="H199" s="521">
        <f>QDA!H199*H$165*$R199/1000</f>
        <v>2249.1651513501201</v>
      </c>
      <c r="I199" s="521">
        <f>QDA!I199*I$165*$R199/1000</f>
        <v>1291.842629076609</v>
      </c>
      <c r="J199" s="521">
        <f>QDA!J199*J$165*$R199/1000</f>
        <v>138.29842790349841</v>
      </c>
      <c r="K199" s="521">
        <f>QDA!K199*K$165*$R199/1000</f>
        <v>0</v>
      </c>
      <c r="L199" s="521">
        <f>QDA!L199*L$165*$R199/1000</f>
        <v>29.161982759211437</v>
      </c>
      <c r="M199" s="521">
        <f>QDA!M199*M$165*$R199/1000</f>
        <v>0</v>
      </c>
      <c r="N199" s="521">
        <f>QDA!N199*N$165*$R199/1000</f>
        <v>1021.6370735339642</v>
      </c>
      <c r="O199" s="10">
        <f>SUM(C199:N199)+SUM(C199:N199)*IF('Painel de Controle'!$D$45="Aditivo3",-'Levantamento eixo suspenso ADT3'!$I$16,-'Eixo Suspenso Pleito 6'!$D$20)</f>
        <v>38873.052805058265</v>
      </c>
      <c r="R199" s="315">
        <f>QD0!P40</f>
        <v>4.7525160660998287</v>
      </c>
    </row>
    <row r="200" spans="1:33">
      <c r="A200" s="126">
        <v>2046</v>
      </c>
      <c r="B200" s="497">
        <v>35</v>
      </c>
      <c r="C200" s="521">
        <f>QDA!C200*C$165*$R200/1000</f>
        <v>14115.332106330481</v>
      </c>
      <c r="D200" s="521">
        <f>QDA!D200*D$165*$R200/1000</f>
        <v>10439.676933989678</v>
      </c>
      <c r="E200" s="521">
        <f>QDA!E200*E$165*$R200/1000</f>
        <v>4397.0148937674685</v>
      </c>
      <c r="F200" s="521">
        <f>QDA!F200*F$165*$R200/1000</f>
        <v>346.13714036632058</v>
      </c>
      <c r="G200" s="521">
        <f>QDA!G200*G$165*$R200/1000</f>
        <v>8811.5412735715636</v>
      </c>
      <c r="H200" s="521">
        <f>QDA!H200*H$165*$R200/1000</f>
        <v>2289.8618935110444</v>
      </c>
      <c r="I200" s="521">
        <f>QDA!I200*I$165*$R200/1000</f>
        <v>1315.2152570017427</v>
      </c>
      <c r="J200" s="521">
        <f>QDA!J200*J$165*$R200/1000</f>
        <v>140.80170442686671</v>
      </c>
      <c r="K200" s="521">
        <f>QDA!K200*K$165*$R200/1000</f>
        <v>0</v>
      </c>
      <c r="L200" s="521">
        <f>QDA!L200*L$165*$R200/1000</f>
        <v>29.563840227082622</v>
      </c>
      <c r="M200" s="521">
        <f>QDA!M200*M$165*$R200/1000</f>
        <v>0</v>
      </c>
      <c r="N200" s="521">
        <f>QDA!N200*N$165*$R200/1000</f>
        <v>1035.7154196753629</v>
      </c>
      <c r="O200" s="10">
        <f>SUM(C200:N200)+SUM(C200:N200)*IF('Painel de Controle'!$D$45="Aditivo3",-'Levantamento eixo suspenso ADT3'!$I$16,-'Eixo Suspenso Pleito 6'!$D$20)</f>
        <v>39475.977175630556</v>
      </c>
      <c r="R200" s="315">
        <f>QD0!P41</f>
        <v>4.7525160660998287</v>
      </c>
    </row>
    <row r="201" spans="1:33">
      <c r="B201" s="514" t="s">
        <v>4</v>
      </c>
      <c r="C201" s="515">
        <f t="shared" ref="C201:O201" si="15">SUM(C166:C200)</f>
        <v>290018.13205190661</v>
      </c>
      <c r="D201" s="515">
        <f t="shared" si="15"/>
        <v>215129.99562950977</v>
      </c>
      <c r="E201" s="515">
        <f t="shared" si="15"/>
        <v>93497.109937642352</v>
      </c>
      <c r="F201" s="515">
        <f t="shared" si="15"/>
        <v>7077.1143577838066</v>
      </c>
      <c r="G201" s="515">
        <f t="shared" si="15"/>
        <v>180094.83979726591</v>
      </c>
      <c r="H201" s="515">
        <f t="shared" si="15"/>
        <v>46793.623228876269</v>
      </c>
      <c r="I201" s="515">
        <f t="shared" si="15"/>
        <v>26879.2549034597</v>
      </c>
      <c r="J201" s="515">
        <f t="shared" si="15"/>
        <v>2876.2187758822524</v>
      </c>
      <c r="K201" s="515">
        <f t="shared" si="15"/>
        <v>0</v>
      </c>
      <c r="L201" s="515">
        <f t="shared" si="15"/>
        <v>607.428125271966</v>
      </c>
      <c r="M201" s="515">
        <f t="shared" si="15"/>
        <v>0</v>
      </c>
      <c r="N201" s="515">
        <f t="shared" si="15"/>
        <v>21280.140565512564</v>
      </c>
      <c r="O201" s="531">
        <f t="shared" si="15"/>
        <v>818102.06210388313</v>
      </c>
    </row>
    <row r="202" spans="1:33">
      <c r="B202" s="128"/>
    </row>
    <row r="203" spans="1:33">
      <c r="B203" s="516" t="s">
        <v>243</v>
      </c>
      <c r="C203" s="517"/>
      <c r="D203" s="517"/>
      <c r="E203" s="517"/>
      <c r="F203" s="517"/>
      <c r="G203" s="517"/>
      <c r="H203" s="517"/>
      <c r="I203" s="517"/>
      <c r="J203" s="517"/>
      <c r="K203" s="517"/>
      <c r="L203" s="517"/>
      <c r="M203" s="517"/>
      <c r="N203" s="518" t="s">
        <v>131</v>
      </c>
      <c r="O203" s="139">
        <f>QDL!$C$36</f>
        <v>4.7525160660998287</v>
      </c>
    </row>
    <row r="204" spans="1:33">
      <c r="B204" s="902" t="s">
        <v>31</v>
      </c>
      <c r="C204" s="495" t="s">
        <v>32</v>
      </c>
      <c r="D204" s="495" t="s">
        <v>33</v>
      </c>
      <c r="E204" s="495" t="s">
        <v>34</v>
      </c>
      <c r="F204" s="495" t="s">
        <v>35</v>
      </c>
      <c r="G204" s="495" t="s">
        <v>36</v>
      </c>
      <c r="H204" s="495" t="s">
        <v>37</v>
      </c>
      <c r="I204" s="495" t="s">
        <v>38</v>
      </c>
      <c r="J204" s="495" t="s">
        <v>39</v>
      </c>
      <c r="K204" s="495" t="s">
        <v>40</v>
      </c>
      <c r="L204" s="495" t="s">
        <v>240</v>
      </c>
      <c r="M204" s="495" t="s">
        <v>241</v>
      </c>
      <c r="N204" s="495" t="s">
        <v>242</v>
      </c>
      <c r="O204" s="902" t="s">
        <v>41</v>
      </c>
      <c r="AB204" s="495" t="s">
        <v>34</v>
      </c>
      <c r="AC204" s="495" t="s">
        <v>35</v>
      </c>
      <c r="AD204" s="495" t="s">
        <v>36</v>
      </c>
      <c r="AE204" s="495" t="s">
        <v>37</v>
      </c>
      <c r="AF204" s="495" t="s">
        <v>38</v>
      </c>
      <c r="AG204" s="495" t="s">
        <v>39</v>
      </c>
    </row>
    <row r="205" spans="1:33">
      <c r="B205" s="903"/>
      <c r="C205" s="496">
        <f>C$5</f>
        <v>1</v>
      </c>
      <c r="D205" s="496">
        <f t="shared" ref="D205:N205" si="16">D$5</f>
        <v>2</v>
      </c>
      <c r="E205" s="496">
        <f t="shared" si="16"/>
        <v>3</v>
      </c>
      <c r="F205" s="496">
        <f t="shared" si="16"/>
        <v>4</v>
      </c>
      <c r="G205" s="496">
        <f t="shared" si="16"/>
        <v>5</v>
      </c>
      <c r="H205" s="496">
        <f t="shared" si="16"/>
        <v>6</v>
      </c>
      <c r="I205" s="496">
        <f t="shared" si="16"/>
        <v>7</v>
      </c>
      <c r="J205" s="496">
        <f t="shared" si="16"/>
        <v>8</v>
      </c>
      <c r="K205" s="496">
        <f t="shared" si="16"/>
        <v>9</v>
      </c>
      <c r="L205" s="496">
        <f t="shared" si="16"/>
        <v>1.5</v>
      </c>
      <c r="M205" s="496">
        <f t="shared" si="16"/>
        <v>2</v>
      </c>
      <c r="N205" s="496">
        <f t="shared" si="16"/>
        <v>0.5</v>
      </c>
      <c r="O205" s="903"/>
    </row>
    <row r="206" spans="1:33">
      <c r="A206" s="126">
        <v>2012</v>
      </c>
      <c r="B206" s="497">
        <v>1</v>
      </c>
      <c r="C206" s="498">
        <f>QDA!C206*C$205*$O$203/1000</f>
        <v>0</v>
      </c>
      <c r="D206" s="498">
        <f>QDA!D206*D$205*$O$203/1000</f>
        <v>0</v>
      </c>
      <c r="E206" s="498">
        <f>QDA!E206*E$205*$O$203/1000</f>
        <v>0</v>
      </c>
      <c r="F206" s="498">
        <f>QDA!F206*F$205*$O$203/1000</f>
        <v>0</v>
      </c>
      <c r="G206" s="498">
        <f>QDA!G206*G$205*$O$203/1000</f>
        <v>0</v>
      </c>
      <c r="H206" s="498">
        <f>QDA!H206*H$205*$O$203/1000</f>
        <v>0</v>
      </c>
      <c r="I206" s="498">
        <f>QDA!I206*I$205*$O$203/1000</f>
        <v>0</v>
      </c>
      <c r="J206" s="498">
        <f>QDA!J206*J$205*$O$203/1000</f>
        <v>0</v>
      </c>
      <c r="K206" s="498">
        <f>QDA!K206*K$205*$O$203/1000</f>
        <v>0</v>
      </c>
      <c r="L206" s="498">
        <f>QDA!L206*L$205*$O$203/1000</f>
        <v>0</v>
      </c>
      <c r="M206" s="498">
        <f>QDA!M206*M$205*$O$203/1000</f>
        <v>0</v>
      </c>
      <c r="N206" s="498">
        <f>QDA!N206*N$205*$O$203/1000</f>
        <v>0</v>
      </c>
      <c r="O206" s="10">
        <f>SUM(C206:N206)</f>
        <v>0</v>
      </c>
    </row>
    <row r="207" spans="1:33" ht="13.5" thickBot="1">
      <c r="A207" s="126">
        <v>2013</v>
      </c>
      <c r="B207" s="497">
        <v>2</v>
      </c>
      <c r="C207" s="498">
        <f>QDA!C207*C$205*$O$203/1000</f>
        <v>0</v>
      </c>
      <c r="D207" s="498">
        <f>QDA!D207*D$205*$O$203/1000</f>
        <v>0</v>
      </c>
      <c r="E207" s="498">
        <f>QDA!E207*E$205*$O$203/1000</f>
        <v>0</v>
      </c>
      <c r="F207" s="498">
        <f>QDA!F207*F$205*$O$203/1000</f>
        <v>0</v>
      </c>
      <c r="G207" s="498">
        <f>QDA!G207*G$205*$O$203/1000</f>
        <v>0</v>
      </c>
      <c r="H207" s="498">
        <f>QDA!H207*H$205*$O$203/1000</f>
        <v>0</v>
      </c>
      <c r="I207" s="498">
        <f>QDA!I207*I$205*$O$203/1000</f>
        <v>0</v>
      </c>
      <c r="J207" s="498">
        <f>QDA!J207*J$205*$O$203/1000</f>
        <v>0</v>
      </c>
      <c r="K207" s="498">
        <f>QDA!K207*K$205*$O$203/1000</f>
        <v>0</v>
      </c>
      <c r="L207" s="498">
        <f>QDA!L207*L$205*$O$203/1000</f>
        <v>0</v>
      </c>
      <c r="M207" s="498">
        <f>QDA!M207*M$205*$O$203/1000</f>
        <v>0</v>
      </c>
      <c r="N207" s="498">
        <f>QDA!N207*N$205*$O$203/1000</f>
        <v>0</v>
      </c>
      <c r="O207" s="10">
        <f t="shared" ref="O207:O211" si="17">SUM(C207:N207)</f>
        <v>0</v>
      </c>
    </row>
    <row r="208" spans="1:33" ht="13.5" thickBot="1">
      <c r="A208" s="126">
        <v>2014</v>
      </c>
      <c r="B208" s="497">
        <v>3</v>
      </c>
      <c r="C208" s="521">
        <f>QDA!C208*C$205*$R208/1000</f>
        <v>3178.9784339433445</v>
      </c>
      <c r="D208" s="521">
        <f>QDA!D208*D$205*$R208/1000</f>
        <v>915.27099719766943</v>
      </c>
      <c r="E208" s="521">
        <f>QDA!E208*E$205*$R208/1000</f>
        <v>466.15130160282172</v>
      </c>
      <c r="F208" s="521">
        <f>QDA!F208*F$205*$R208/1000</f>
        <v>9.2125315900110447</v>
      </c>
      <c r="G208" s="521">
        <f>QDA!G208*G$205*$R208/1000</f>
        <v>83.750286764171435</v>
      </c>
      <c r="H208" s="521">
        <f>QDA!H208*H$205*$R208/1000</f>
        <v>16.331305912993216</v>
      </c>
      <c r="I208" s="521">
        <f>QDA!I208*I$205*$R208/1000</f>
        <v>144.36455698622427</v>
      </c>
      <c r="J208" s="521">
        <f>QDA!J208*J$205*$R208/1000</f>
        <v>61.975212247965779</v>
      </c>
      <c r="K208" s="521">
        <f>QDA!K208*K$205*$R208/1000</f>
        <v>0</v>
      </c>
      <c r="L208" s="521">
        <f>QDA!L208*L$205*$R208/1000</f>
        <v>39.628614348451194</v>
      </c>
      <c r="M208" s="521">
        <f>QDA!M208*M$205*$R208/1000</f>
        <v>0</v>
      </c>
      <c r="N208" s="521">
        <f>QDA!N208*N$205*$R208/1000</f>
        <v>209.28105393778841</v>
      </c>
      <c r="O208" s="140">
        <f t="shared" si="17"/>
        <v>5124.9442945314422</v>
      </c>
      <c r="R208" s="315">
        <f>'Painel de Controle'!H6*Y208/V208</f>
        <v>3.5832861888856216</v>
      </c>
      <c r="T208" s="522">
        <v>41582</v>
      </c>
      <c r="U208" s="523">
        <v>41946</v>
      </c>
      <c r="V208" s="524">
        <f>U208-T208+1</f>
        <v>365</v>
      </c>
      <c r="W208" s="525">
        <v>41663</v>
      </c>
      <c r="X208" s="523">
        <v>41946</v>
      </c>
      <c r="Y208" s="524">
        <f>X208-W208+1</f>
        <v>284</v>
      </c>
    </row>
    <row r="209" spans="1:33">
      <c r="A209" s="126">
        <v>2015</v>
      </c>
      <c r="B209" s="497">
        <v>4</v>
      </c>
      <c r="C209" s="521">
        <f>QDA!C209*C$205*$R209/1000</f>
        <v>4389.5373764320748</v>
      </c>
      <c r="D209" s="521">
        <f>QDA!D209*D$205*$R209/1000</f>
        <v>1268.0445783269183</v>
      </c>
      <c r="E209" s="521">
        <f>QDA!E209*E$205*$R209/1000</f>
        <v>650.5969390665233</v>
      </c>
      <c r="F209" s="521">
        <f>QDA!F209*F$205*$R209/1000</f>
        <v>12.867000193890691</v>
      </c>
      <c r="G209" s="521">
        <f>QDA!G209*G$205*$R209/1000</f>
        <v>116.97272845190895</v>
      </c>
      <c r="H209" s="521">
        <f>QDA!H209*H$205*$R209/1000</f>
        <v>22.809682039713909</v>
      </c>
      <c r="I209" s="521">
        <f>QDA!I209*I$205*$R209/1000</f>
        <v>201.63174091547023</v>
      </c>
      <c r="J209" s="521">
        <f>QDA!J209*J$205*$R209/1000</f>
        <v>86.559819113742265</v>
      </c>
      <c r="K209" s="521">
        <f>QDA!K209*K$205*$R209/1000</f>
        <v>0</v>
      </c>
      <c r="L209" s="521">
        <f>QDA!L209*L$205*$R209/1000</f>
        <v>54.719239992755199</v>
      </c>
      <c r="M209" s="521">
        <f>QDA!M209*M$205*$R209/1000</f>
        <v>0</v>
      </c>
      <c r="N209" s="521">
        <f>QDA!N209*N$205*$R209/1000</f>
        <v>288.97553963569652</v>
      </c>
      <c r="O209" s="140">
        <f t="shared" si="17"/>
        <v>7092.7146441686937</v>
      </c>
      <c r="R209" s="315">
        <f>QD0!P10</f>
        <v>4.60527978501145</v>
      </c>
    </row>
    <row r="210" spans="1:33">
      <c r="A210" s="126">
        <v>2016</v>
      </c>
      <c r="B210" s="497">
        <v>5</v>
      </c>
      <c r="C210" s="521">
        <f>QDA!C210*C$205*$R210/1000</f>
        <v>4702.3852141262942</v>
      </c>
      <c r="D210" s="521">
        <f>QDA!D210*D$205*$R210/1000</f>
        <v>1362.9278094436024</v>
      </c>
      <c r="E210" s="521">
        <f>QDA!E210*E$205*$R210/1000</f>
        <v>704.34372172730423</v>
      </c>
      <c r="F210" s="521">
        <f>QDA!F210*F$205*$R210/1000</f>
        <v>13.939726042668807</v>
      </c>
      <c r="G210" s="521">
        <f>QDA!G210*G$205*$R210/1000</f>
        <v>126.72478157397578</v>
      </c>
      <c r="H210" s="521">
        <f>QDA!H210*H$205*$R210/1000</f>
        <v>24.711332397815934</v>
      </c>
      <c r="I210" s="521">
        <f>QDA!I210*I$205*$R210/1000</f>
        <v>218.44184250518305</v>
      </c>
      <c r="J210" s="521">
        <f>QDA!J210*J$205*$R210/1000</f>
        <v>93.776338429018068</v>
      </c>
      <c r="K210" s="521">
        <f>QDA!K210*K$205*$R210/1000</f>
        <v>0</v>
      </c>
      <c r="L210" s="521">
        <f>QDA!L210*L$205*$R210/1000</f>
        <v>58.619148899766067</v>
      </c>
      <c r="M210" s="521">
        <f>QDA!M210*M$205*$R210/1000</f>
        <v>0</v>
      </c>
      <c r="N210" s="521">
        <f>QDA!N210*N$205*$R210/1000</f>
        <v>309.57118901026269</v>
      </c>
      <c r="O210" s="140">
        <f t="shared" si="17"/>
        <v>7615.4411041558906</v>
      </c>
      <c r="R210" s="315">
        <f>QD0!P11</f>
        <v>4.60527978501145</v>
      </c>
      <c r="AB210" s="529"/>
    </row>
    <row r="211" spans="1:33">
      <c r="A211" s="126">
        <v>2017</v>
      </c>
      <c r="B211" s="497">
        <v>6</v>
      </c>
      <c r="C211" s="521">
        <f>QDA!C211*C$205*$R211/1000</f>
        <v>5030.7100161688822</v>
      </c>
      <c r="D211" s="521">
        <f>QDA!D211*D$205*$R211/1000</f>
        <v>1462.97680102304</v>
      </c>
      <c r="E211" s="521">
        <f>QDA!E211*E$205*$R211/1000</f>
        <v>761.52152007565098</v>
      </c>
      <c r="F211" s="521">
        <f>QDA!F211*F$205*$R211/1000</f>
        <v>15.081812654134927</v>
      </c>
      <c r="G211" s="521">
        <f>QDA!G211*G$205*$R211/1000</f>
        <v>137.10738708097017</v>
      </c>
      <c r="H211" s="521">
        <f>QDA!H211*H$205*$R211/1000</f>
        <v>26.73594047093351</v>
      </c>
      <c r="I211" s="521">
        <f>QDA!I211*I$205*$R211/1000</f>
        <v>236.3388587697435</v>
      </c>
      <c r="J211" s="521">
        <f>QDA!J211*J$205*$R211/1000</f>
        <v>101.45946650946006</v>
      </c>
      <c r="K211" s="521">
        <f>QDA!K211*K$205*$R211/1000</f>
        <v>0</v>
      </c>
      <c r="L211" s="521">
        <f>QDA!L211*L$205*$R211/1000</f>
        <v>62.711991060081637</v>
      </c>
      <c r="M211" s="521">
        <f>QDA!M211*M$205*$R211/1000</f>
        <v>0</v>
      </c>
      <c r="N211" s="521">
        <f>QDA!N211*N$205*$R211/1000</f>
        <v>331.18573029551283</v>
      </c>
      <c r="O211" s="140">
        <f t="shared" si="17"/>
        <v>8165.8295241084106</v>
      </c>
      <c r="R211" s="315">
        <f>QD0!P12</f>
        <v>4.60527978501145</v>
      </c>
    </row>
    <row r="212" spans="1:33">
      <c r="A212" s="126">
        <v>2018</v>
      </c>
      <c r="B212" s="497">
        <v>7</v>
      </c>
      <c r="C212" s="521">
        <f>QDA!C212*C$205*$R212/1000</f>
        <v>5425.1831817669563</v>
      </c>
      <c r="D212" s="521">
        <f>QDA!D212*D$205*$R212/1000</f>
        <v>1582.9991826450739</v>
      </c>
      <c r="E212" s="521">
        <f>QDA!E212*E$205*$R212/1000</f>
        <v>829.91839866482883</v>
      </c>
      <c r="F212" s="521">
        <f>QDA!F212*F$205*$R212/1000</f>
        <v>16.447653924610439</v>
      </c>
      <c r="G212" s="521">
        <f>QDA!G212*G$205*$R212/1000</f>
        <v>149.52412584154004</v>
      </c>
      <c r="H212" s="521">
        <f>QDA!H212*H$205*$R212/1000</f>
        <v>29.157204528352079</v>
      </c>
      <c r="I212" s="521">
        <f>QDA!I212*I$205*$R212/1000</f>
        <v>257.74221223444113</v>
      </c>
      <c r="J212" s="521">
        <f>QDA!J212*J$205*$R212/1000</f>
        <v>110.64785319857967</v>
      </c>
      <c r="K212" s="521">
        <f>QDA!K212*K$205*$R212/1000</f>
        <v>0</v>
      </c>
      <c r="L212" s="521">
        <f>QDA!L212*L$205*$R212/1000</f>
        <v>67.629427675374316</v>
      </c>
      <c r="M212" s="521">
        <f>QDA!M212*M$205*$R212/1000</f>
        <v>0</v>
      </c>
      <c r="N212" s="521">
        <f>QDA!N212*N$205*$R212/1000</f>
        <v>357.15500362088574</v>
      </c>
      <c r="O212" s="10">
        <f>SUM(C212:N212)+(SUM(C212:N212)*IF('Painel de Controle'!$D$45="Aditivo3",-'Levantamento eixo suspenso ADT3'!$I$16,-'Eixo Suspenso Pleito 6'!$D$17)*$S$24)</f>
        <v>8534.0870869522296</v>
      </c>
      <c r="R212" s="315">
        <f>QD0!P13</f>
        <v>4.6504420533133422</v>
      </c>
      <c r="AB212" s="467">
        <v>0.15307150050352467</v>
      </c>
      <c r="AC212" s="467">
        <v>0.30303030303030304</v>
      </c>
      <c r="AD212" s="467">
        <v>0.14193548387096774</v>
      </c>
      <c r="AE212" s="467">
        <v>0.27192982456140352</v>
      </c>
      <c r="AF212" s="467">
        <v>0</v>
      </c>
      <c r="AG212" s="467">
        <v>0</v>
      </c>
    </row>
    <row r="213" spans="1:33">
      <c r="A213" s="126">
        <v>2019</v>
      </c>
      <c r="B213" s="497">
        <v>8</v>
      </c>
      <c r="C213" s="521">
        <f>QDA!C213*C$205*$R213/1000</f>
        <v>6076.961854002926</v>
      </c>
      <c r="D213" s="521">
        <f>QDA!D213*D$205*$R213/1000</f>
        <v>1779.0807275053226</v>
      </c>
      <c r="E213" s="521">
        <f>QDA!E213*E$205*$R213/1000</f>
        <v>939.2816427144146</v>
      </c>
      <c r="F213" s="521">
        <f>QDA!F213*F$205*$R213/1000</f>
        <v>18.627440914572574</v>
      </c>
      <c r="G213" s="521">
        <f>QDA!G213*G$205*$R213/1000</f>
        <v>169.34037110598857</v>
      </c>
      <c r="H213" s="521">
        <f>QDA!H213*H$205*$R213/1000</f>
        <v>33.021372353495082</v>
      </c>
      <c r="I213" s="521">
        <f>QDA!I213*I$205*$R213/1000</f>
        <v>291.90046505079221</v>
      </c>
      <c r="J213" s="521">
        <f>QDA!J213*J$205*$R213/1000</f>
        <v>125.31187470432256</v>
      </c>
      <c r="K213" s="521">
        <f>QDA!K213*K$205*$R213/1000</f>
        <v>0</v>
      </c>
      <c r="L213" s="521">
        <f>QDA!L213*L$205*$R213/1000</f>
        <v>75.754391772895829</v>
      </c>
      <c r="M213" s="521">
        <f>QDA!M213*M$205*$R213/1000</f>
        <v>0</v>
      </c>
      <c r="N213" s="521">
        <f>QDA!N213*N$205*$R213/1000</f>
        <v>400.06341910532598</v>
      </c>
      <c r="O213" s="10">
        <f>SUM(C213:N213)+SUM(C213:N213)*IF('Painel de Controle'!$D$45="Aditivo3",-'Levantamento eixo suspenso ADT3'!$I$16,-'Eixo Suspenso Pleito 6'!$D$18)</f>
        <v>9127.9570890249215</v>
      </c>
      <c r="R213" s="315">
        <f>QD0!P14</f>
        <v>4.8910911491809559</v>
      </c>
    </row>
    <row r="214" spans="1:33">
      <c r="A214" s="126">
        <v>2020</v>
      </c>
      <c r="B214" s="497">
        <v>9</v>
      </c>
      <c r="C214" s="521">
        <f>QDA!C214*C$205*$R214/1000</f>
        <v>6522.9873235497025</v>
      </c>
      <c r="D214" s="521">
        <f>QDA!D214*D$205*$R214/1000</f>
        <v>1916.0441886211279</v>
      </c>
      <c r="E214" s="521">
        <f>QDA!E214*E$205*$R214/1000</f>
        <v>1018.6722641978604</v>
      </c>
      <c r="F214" s="521">
        <f>QDA!F214*F$205*$R214/1000</f>
        <v>20.215145036629064</v>
      </c>
      <c r="G214" s="521">
        <f>QDA!G214*G$205*$R214/1000</f>
        <v>183.77404487087048</v>
      </c>
      <c r="H214" s="521">
        <f>QDA!H214*H$205*$R214/1000</f>
        <v>35.835938736609521</v>
      </c>
      <c r="I214" s="521">
        <f>QDA!I214*I$205*$R214/1000</f>
        <v>316.78051023342283</v>
      </c>
      <c r="J214" s="521">
        <f>QDA!J214*J$205*$R214/1000</f>
        <v>135.99279329765605</v>
      </c>
      <c r="K214" s="521">
        <f>QDA!K214*K$205*$R214/1000</f>
        <v>0</v>
      </c>
      <c r="L214" s="521">
        <f>QDA!L214*L$205*$R214/1000</f>
        <v>81.314470801280677</v>
      </c>
      <c r="M214" s="521">
        <f>QDA!M214*M$205*$R214/1000</f>
        <v>0</v>
      </c>
      <c r="N214" s="521">
        <f>QDA!N214*N$205*$R214/1000</f>
        <v>429.42652498649983</v>
      </c>
      <c r="O214" s="10">
        <f>SUM(C214:N214)+SUM(C214:N214)*IF('Painel de Controle'!$D$45="Aditivo3",-'Levantamento eixo suspenso ADT3'!$I$16,-'Eixo Suspenso Pleito 6'!$D$19)</f>
        <v>9779.3481706360108</v>
      </c>
      <c r="R214" s="315">
        <f>QD0!P15</f>
        <v>4.9375608950411713</v>
      </c>
    </row>
    <row r="215" spans="1:33">
      <c r="A215" s="126">
        <v>2021</v>
      </c>
      <c r="B215" s="497">
        <v>10</v>
      </c>
      <c r="C215" s="521">
        <f>QDA!C215*C$205*$R215/1000</f>
        <v>6923.6951315165716</v>
      </c>
      <c r="D215" s="521">
        <f>QDA!D215*D$205*$R215/1000</f>
        <v>2040.5651802575064</v>
      </c>
      <c r="E215" s="521">
        <f>QDA!E215*E$205*$R215/1000</f>
        <v>1092.4080058787333</v>
      </c>
      <c r="F215" s="521">
        <f>QDA!F215*F$205*$R215/1000</f>
        <v>21.692416633615174</v>
      </c>
      <c r="G215" s="521">
        <f>QDA!G215*G$205*$R215/1000</f>
        <v>197.20378659466564</v>
      </c>
      <c r="H215" s="521">
        <f>QDA!H215*H$205*$R215/1000</f>
        <v>38.454738371784217</v>
      </c>
      <c r="I215" s="521">
        <f>QDA!I215*I$205*$R215/1000</f>
        <v>339.93002755811489</v>
      </c>
      <c r="J215" s="521">
        <f>QDA!J215*J$205*$R215/1000</f>
        <v>145.9308021800762</v>
      </c>
      <c r="K215" s="521">
        <f>QDA!K215*K$205*$R215/1000</f>
        <v>0</v>
      </c>
      <c r="L215" s="521">
        <f>QDA!L215*L$205*$R215/1000</f>
        <v>86.309627427314993</v>
      </c>
      <c r="M215" s="521">
        <f>QDA!M215*M$205*$R215/1000</f>
        <v>0</v>
      </c>
      <c r="N215" s="521">
        <f>QDA!N215*N$205*$R215/1000</f>
        <v>455.80624228089567</v>
      </c>
      <c r="O215" s="10">
        <f>SUM(C215:N215)+SUM(C215:N215)*IF('Painel de Controle'!$D$45="Aditivo3",-'Levantamento eixo suspenso ADT3'!$I$16,-'Eixo Suspenso Pleito 6'!$D$20)</f>
        <v>10431.6728221015</v>
      </c>
      <c r="R215" s="315">
        <f>QD0!P16</f>
        <v>4.9375608950411713</v>
      </c>
    </row>
    <row r="216" spans="1:33">
      <c r="A216" s="126">
        <v>2022</v>
      </c>
      <c r="B216" s="497">
        <v>11</v>
      </c>
      <c r="C216" s="521">
        <f>QDA!C216*C$205*$R216/1000</f>
        <v>7335.5029437924477</v>
      </c>
      <c r="D216" s="521">
        <f>QDA!D216*D$205*$R216/1000</f>
        <v>2169.1871004230766</v>
      </c>
      <c r="E216" s="521">
        <f>QDA!E216*E$205*$R216/1000</f>
        <v>1169.2526602728858</v>
      </c>
      <c r="F216" s="521">
        <f>QDA!F216*F$205*$R216/1000</f>
        <v>23.233110946278796</v>
      </c>
      <c r="G216" s="521">
        <f>QDA!G216*G$205*$R216/1000</f>
        <v>211.21009845810767</v>
      </c>
      <c r="H216" s="521">
        <f>QDA!H216*H$205*$R216/1000</f>
        <v>41.185969184148597</v>
      </c>
      <c r="I216" s="521">
        <f>QDA!I216*I$205*$R216/1000</f>
        <v>364.07340766223803</v>
      </c>
      <c r="J216" s="521">
        <f>QDA!J216*J$205*$R216/1000</f>
        <v>156.29547296612745</v>
      </c>
      <c r="K216" s="521">
        <f>QDA!K216*K$205*$R216/1000</f>
        <v>0</v>
      </c>
      <c r="L216" s="521">
        <f>QDA!L216*L$205*$R216/1000</f>
        <v>91.443154853645083</v>
      </c>
      <c r="M216" s="521">
        <f>QDA!M216*M$205*$R216/1000</f>
        <v>0</v>
      </c>
      <c r="N216" s="521">
        <f>QDA!N216*N$205*$R216/1000</f>
        <v>482.91670394766595</v>
      </c>
      <c r="O216" s="10">
        <f>SUM(C216:N216)+SUM(C216:N216)*IF('Painel de Controle'!$D$45="Aditivo3",-'Levantamento eixo suspenso ADT3'!$I$16,-'Eixo Suspenso Pleito 6'!$D$20)</f>
        <v>11077.609613205272</v>
      </c>
      <c r="R216" s="315">
        <f>QD0!P17</f>
        <v>4.9375608950411713</v>
      </c>
    </row>
    <row r="217" spans="1:33">
      <c r="A217" s="126">
        <v>2023</v>
      </c>
      <c r="B217" s="497">
        <v>12</v>
      </c>
      <c r="C217" s="521">
        <f>QDA!C217*C$205*$R217/1000</f>
        <v>7756.9801911611303</v>
      </c>
      <c r="D217" s="521">
        <f>QDA!D217*D$205*$R217/1000</f>
        <v>2301.5102452882875</v>
      </c>
      <c r="E217" s="521">
        <f>QDA!E217*E$205*$R217/1000</f>
        <v>1249.016382921325</v>
      </c>
      <c r="F217" s="521">
        <f>QDA!F217*F$205*$R217/1000</f>
        <v>24.833502741580325</v>
      </c>
      <c r="G217" s="521">
        <f>QDA!G217*G$205*$R217/1000</f>
        <v>225.75911470646008</v>
      </c>
      <c r="H217" s="521">
        <f>QDA!H217*H$205*$R217/1000</f>
        <v>44.023027351531489</v>
      </c>
      <c r="I217" s="521">
        <f>QDA!I217*I$205*$R217/1000</f>
        <v>389.15227445099407</v>
      </c>
      <c r="J217" s="521">
        <f>QDA!J217*J$205*$R217/1000</f>
        <v>167.06174499728758</v>
      </c>
      <c r="K217" s="521">
        <f>QDA!K217*K$205*$R217/1000</f>
        <v>0</v>
      </c>
      <c r="L217" s="521">
        <f>QDA!L217*L$205*$R217/1000</f>
        <v>96.697219843290767</v>
      </c>
      <c r="M217" s="521">
        <f>QDA!M217*M$205*$R217/1000</f>
        <v>0</v>
      </c>
      <c r="N217" s="521">
        <f>QDA!N217*N$205*$R217/1000</f>
        <v>510.6637316085928</v>
      </c>
      <c r="O217" s="10">
        <f>SUM(C217:N217)+SUM(C217:N217)*IF('Painel de Controle'!$D$45="Aditivo3",-'Levantamento eixo suspenso ADT3'!$I$16,-'Eixo Suspenso Pleito 6'!$D$20)</f>
        <v>11741.106192729363</v>
      </c>
      <c r="R217" s="315">
        <f>QD0!P18</f>
        <v>4.9375608950411713</v>
      </c>
    </row>
    <row r="218" spans="1:33">
      <c r="A218" s="126">
        <v>2024</v>
      </c>
      <c r="B218" s="497">
        <v>13</v>
      </c>
      <c r="C218" s="521">
        <f>QDA!C218*C$205*$R218/1000</f>
        <v>8190.6211503674376</v>
      </c>
      <c r="D218" s="521">
        <f>QDA!D218*D$205*$R218/1000</f>
        <v>2438.2962695541014</v>
      </c>
      <c r="E218" s="521">
        <f>QDA!E218*E$205*$R218/1000</f>
        <v>1332.1361456829654</v>
      </c>
      <c r="F218" s="521">
        <f>QDA!F218*F$205*$R218/1000</f>
        <v>26.502323148229355</v>
      </c>
      <c r="G218" s="521">
        <f>QDA!G218*G$205*$R218/1000</f>
        <v>240.93020923668666</v>
      </c>
      <c r="H218" s="521">
        <f>QDA!H218*H$205*$R218/1000</f>
        <v>46.981390783835145</v>
      </c>
      <c r="I218" s="521">
        <f>QDA!I218*I$205*$R218/1000</f>
        <v>415.30344867944171</v>
      </c>
      <c r="J218" s="521">
        <f>QDA!J218*J$205*$R218/1000</f>
        <v>178.28835495735024</v>
      </c>
      <c r="K218" s="521">
        <f>QDA!K218*K$205*$R218/1000</f>
        <v>0</v>
      </c>
      <c r="L218" s="521">
        <f>QDA!L218*L$205*$R218/1000</f>
        <v>102.10291563367167</v>
      </c>
      <c r="M218" s="521">
        <f>QDA!M218*M$205*$R218/1000</f>
        <v>0</v>
      </c>
      <c r="N218" s="521">
        <f>QDA!N218*N$205*$R218/1000</f>
        <v>539.21153048771771</v>
      </c>
      <c r="O218" s="10">
        <f>SUM(C218:N218)+SUM(C218:N218)*IF('Painel de Controle'!$D$45="Aditivo3",-'Levantamento eixo suspenso ADT3'!$I$16,-'Eixo Suspenso Pleito 6'!$D$20)</f>
        <v>12426.013821365794</v>
      </c>
      <c r="R218" s="315">
        <f>QD0!P19</f>
        <v>4.9399691367167016</v>
      </c>
    </row>
    <row r="219" spans="1:33">
      <c r="A219" s="126">
        <v>2025</v>
      </c>
      <c r="B219" s="497">
        <v>14</v>
      </c>
      <c r="C219" s="521">
        <f>QDA!C219*C$205*$R219/1000</f>
        <v>8628.0754400218066</v>
      </c>
      <c r="D219" s="521">
        <f>QDA!D219*D$205*$R219/1000</f>
        <v>2577.0787031883183</v>
      </c>
      <c r="E219" s="521">
        <f>QDA!E219*E$205*$R219/1000</f>
        <v>1417.2855554650957</v>
      </c>
      <c r="F219" s="521">
        <f>QDA!F219*F$205*$R219/1000</f>
        <v>28.21322236114197</v>
      </c>
      <c r="G219" s="521">
        <f>QDA!G219*G$205*$R219/1000</f>
        <v>256.48383836740157</v>
      </c>
      <c r="H219" s="521">
        <f>QDA!H219*H$205*$R219/1000</f>
        <v>50.014348463206524</v>
      </c>
      <c r="I219" s="521">
        <f>QDA!I219*I$205*$R219/1000</f>
        <v>442.11401692628698</v>
      </c>
      <c r="J219" s="521">
        <f>QDA!J219*J$205*$R219/1000</f>
        <v>189.79804052196818</v>
      </c>
      <c r="K219" s="521">
        <f>QDA!K219*K$205*$R219/1000</f>
        <v>0</v>
      </c>
      <c r="L219" s="521">
        <f>QDA!L219*L$205*$R219/1000</f>
        <v>107.55614776468826</v>
      </c>
      <c r="M219" s="521">
        <f>QDA!M219*M$205*$R219/1000</f>
        <v>0</v>
      </c>
      <c r="N219" s="521">
        <f>QDA!N219*N$205*$R219/1000</f>
        <v>568.01037159055238</v>
      </c>
      <c r="O219" s="10">
        <f>SUM(C219:N219)+SUM(C219:N219)*IF('Painel de Controle'!$D$45="Aditivo3",-'Levantamento eixo suspenso ADT3'!$I$16,-'Eixo Suspenso Pleito 6'!$D$20)</f>
        <v>13119.732218277415</v>
      </c>
      <c r="R219" s="315">
        <f>QD0!P20</f>
        <v>4.9404507850518078</v>
      </c>
    </row>
    <row r="220" spans="1:33">
      <c r="A220" s="126">
        <v>2026</v>
      </c>
      <c r="B220" s="497">
        <v>15</v>
      </c>
      <c r="C220" s="521">
        <f>QDA!C220*C$205*$R220/1000</f>
        <v>8725.0467730617947</v>
      </c>
      <c r="D220" s="521">
        <f>QDA!D220*D$205*$R220/1000</f>
        <v>2614.6828341931387</v>
      </c>
      <c r="E220" s="521">
        <f>QDA!E220*E$205*$R220/1000</f>
        <v>1447.3550126522073</v>
      </c>
      <c r="F220" s="521">
        <f>QDA!F220*F$205*$R220/1000</f>
        <v>28.828685532192445</v>
      </c>
      <c r="G220" s="521">
        <f>QDA!G220*G$205*$R220/1000</f>
        <v>262.07895807631559</v>
      </c>
      <c r="H220" s="521">
        <f>QDA!H220*H$205*$R220/1000</f>
        <v>51.105396806042542</v>
      </c>
      <c r="I220" s="521">
        <f>QDA!I220*I$205*$R220/1000</f>
        <v>451.75860453631793</v>
      </c>
      <c r="J220" s="521">
        <f>QDA!J220*J$205*$R220/1000</f>
        <v>193.93842910940242</v>
      </c>
      <c r="K220" s="521">
        <f>QDA!K220*K$205*$R220/1000</f>
        <v>0</v>
      </c>
      <c r="L220" s="521">
        <f>QDA!L220*L$205*$R220/1000</f>
        <v>108.76497621060193</v>
      </c>
      <c r="M220" s="521">
        <f>QDA!M220*M$205*$R220/1000</f>
        <v>0</v>
      </c>
      <c r="N220" s="521">
        <f>QDA!N220*N$205*$R220/1000</f>
        <v>574.39426604031325</v>
      </c>
      <c r="O220" s="10">
        <f>SUM(C220:N220)+SUM(C220:N220)*IF('Painel de Controle'!$D$45="Aditivo3",-'Levantamento eixo suspenso ADT3'!$I$16,-'Eixo Suspenso Pleito 6'!$D$20)</f>
        <v>13297.540017545598</v>
      </c>
      <c r="R220" s="315">
        <f>QD0!P21</f>
        <v>4.7525160660998287</v>
      </c>
    </row>
    <row r="221" spans="1:33">
      <c r="A221" s="126">
        <v>2027</v>
      </c>
      <c r="B221" s="497">
        <v>16</v>
      </c>
      <c r="C221" s="521">
        <f>QDA!C221*C$205*$R221/1000</f>
        <v>9153.9407311695759</v>
      </c>
      <c r="D221" s="521">
        <f>QDA!D221*D$205*$R221/1000</f>
        <v>2752.2569551704787</v>
      </c>
      <c r="E221" s="521">
        <f>QDA!E221*E$205*$R221/1000</f>
        <v>1533.305260673023</v>
      </c>
      <c r="F221" s="521">
        <f>QDA!F221*F$205*$R221/1000</f>
        <v>30.558161980832477</v>
      </c>
      <c r="G221" s="521">
        <f>QDA!G221*G$205*$R221/1000</f>
        <v>277.80147116734634</v>
      </c>
      <c r="H221" s="521">
        <f>QDA!H221*H$205*$R221/1000</f>
        <v>54.171286857663375</v>
      </c>
      <c r="I221" s="521">
        <f>QDA!I221*I$205*$R221/1000</f>
        <v>478.86028651011372</v>
      </c>
      <c r="J221" s="521">
        <f>QDA!J221*J$205*$R221/1000</f>
        <v>205.57308880473985</v>
      </c>
      <c r="K221" s="521">
        <f>QDA!K221*K$205*$R221/1000</f>
        <v>0</v>
      </c>
      <c r="L221" s="521">
        <f>QDA!L221*L$205*$R221/1000</f>
        <v>114.11149667791786</v>
      </c>
      <c r="M221" s="521">
        <f>QDA!M221*M$205*$R221/1000</f>
        <v>0</v>
      </c>
      <c r="N221" s="521">
        <f>QDA!N221*N$205*$R221/1000</f>
        <v>602.62955654179825</v>
      </c>
      <c r="O221" s="10">
        <f>SUM(C221:N221)+SUM(C221:N221)*IF('Painel de Controle'!$D$45="Aditivo3",-'Levantamento eixo suspenso ADT3'!$I$16,-'Eixo Suspenso Pleito 6'!$D$20)</f>
        <v>13982.979306550673</v>
      </c>
      <c r="R221" s="315">
        <f>QD0!P22</f>
        <v>4.7525160660998287</v>
      </c>
    </row>
    <row r="222" spans="1:33">
      <c r="A222" s="126">
        <v>2028</v>
      </c>
      <c r="B222" s="497">
        <v>17</v>
      </c>
      <c r="C222" s="521">
        <f>QDA!C222*C$205*$R222/1000</f>
        <v>9585.6493165481133</v>
      </c>
      <c r="D222" s="521">
        <f>QDA!D222*D$205*$R222/1000</f>
        <v>2891.5105325479053</v>
      </c>
      <c r="E222" s="521">
        <f>QDA!E222*E$205*$R222/1000</f>
        <v>1621.0905736014606</v>
      </c>
      <c r="F222" s="521">
        <f>QDA!F222*F$205*$R222/1000</f>
        <v>32.325807326929045</v>
      </c>
      <c r="G222" s="521">
        <f>QDA!G222*G$205*$R222/1000</f>
        <v>293.87097423352412</v>
      </c>
      <c r="H222" s="521">
        <f>QDA!H222*H$205*$R222/1000</f>
        <v>57.304839954412898</v>
      </c>
      <c r="I222" s="521">
        <f>QDA!I222*I$205*$R222/1000</f>
        <v>506.5600924543001</v>
      </c>
      <c r="J222" s="521">
        <f>QDA!J222*J$205*$R222/1000</f>
        <v>217.46452108186193</v>
      </c>
      <c r="K222" s="521">
        <f>QDA!K222*K$205*$R222/1000</f>
        <v>0</v>
      </c>
      <c r="L222" s="521">
        <f>QDA!L222*L$205*$R222/1000</f>
        <v>119.49310381881941</v>
      </c>
      <c r="M222" s="521">
        <f>QDA!M222*M$205*$R222/1000</f>
        <v>0</v>
      </c>
      <c r="N222" s="521">
        <f>QDA!N222*N$205*$R222/1000</f>
        <v>631.05014183967955</v>
      </c>
      <c r="O222" s="10">
        <f>SUM(C222:N222)+SUM(C222:N222)*IF('Painel de Controle'!$D$45="Aditivo3",-'Levantamento eixo suspenso ADT3'!$I$16,-'Eixo Suspenso Pleito 6'!$D$20)</f>
        <v>14675.645211234672</v>
      </c>
      <c r="R222" s="315">
        <f>QD0!P23</f>
        <v>4.7525160660998287</v>
      </c>
    </row>
    <row r="223" spans="1:33">
      <c r="A223" s="126">
        <v>2029</v>
      </c>
      <c r="B223" s="497">
        <v>18</v>
      </c>
      <c r="C223" s="521">
        <f>QDA!C223*C$205*$R223/1000</f>
        <v>10019.954789858877</v>
      </c>
      <c r="D223" s="521">
        <f>QDA!D223*D$205*$R223/1000</f>
        <v>3032.4021605056096</v>
      </c>
      <c r="E223" s="521">
        <f>QDA!E223*E$205*$R223/1000</f>
        <v>1710.7138567910545</v>
      </c>
      <c r="F223" s="521">
        <f>QDA!F223*F$205*$R223/1000</f>
        <v>34.131725583700387</v>
      </c>
      <c r="G223" s="521">
        <f>QDA!G223*G$205*$R223/1000</f>
        <v>310.28841284955502</v>
      </c>
      <c r="H223" s="521">
        <f>QDA!H223*H$205*$R223/1000</f>
        <v>60.506240483358809</v>
      </c>
      <c r="I223" s="521">
        <f>QDA!I223*I$205*$R223/1000</f>
        <v>534.85965230327918</v>
      </c>
      <c r="J223" s="521">
        <f>QDA!J223*J$205*$R223/1000</f>
        <v>229.61342566605191</v>
      </c>
      <c r="K223" s="521">
        <f>QDA!K223*K$205*$R223/1000</f>
        <v>0</v>
      </c>
      <c r="L223" s="521">
        <f>QDA!L223*L$205*$R223/1000</f>
        <v>124.90708333106939</v>
      </c>
      <c r="M223" s="521">
        <f>QDA!M223*M$205*$R223/1000</f>
        <v>0</v>
      </c>
      <c r="N223" s="521">
        <f>QDA!N223*N$205*$R223/1000</f>
        <v>659.64168754346099</v>
      </c>
      <c r="O223" s="10">
        <f>SUM(C223:N223)+SUM(C223:N223)*IF('Painel de Controle'!$D$45="Aditivo3",-'Levantamento eixo suspenso ADT3'!$I$16,-'Eixo Suspenso Pleito 6'!$D$20)</f>
        <v>15375.289655198027</v>
      </c>
      <c r="R223" s="315">
        <f>QD0!P24</f>
        <v>4.7525160660998287</v>
      </c>
    </row>
    <row r="224" spans="1:33">
      <c r="A224" s="126">
        <v>2030</v>
      </c>
      <c r="B224" s="497">
        <v>19</v>
      </c>
      <c r="C224" s="521">
        <f>QDA!C224*C$205*$R224/1000</f>
        <v>10456.770023788624</v>
      </c>
      <c r="D224" s="521">
        <f>QDA!D224*D$205*$R224/1000</f>
        <v>3174.9346872891733</v>
      </c>
      <c r="E224" s="521">
        <f>QDA!E224*E$205*$R224/1000</f>
        <v>1802.2080498112612</v>
      </c>
      <c r="F224" s="521">
        <f>QDA!F224*F$205*$R224/1000</f>
        <v>35.976628885465772</v>
      </c>
      <c r="G224" s="521">
        <f>QDA!G224*G$205*$R224/1000</f>
        <v>327.06026096376405</v>
      </c>
      <c r="H224" s="521">
        <f>QDA!H224*H$205*$R224/1000</f>
        <v>63.776750864423917</v>
      </c>
      <c r="I224" s="521">
        <f>QDA!I224*I$205*$R224/1000</f>
        <v>563.77012552548968</v>
      </c>
      <c r="J224" s="521">
        <f>QDA!J224*J$205*$R224/1000</f>
        <v>242.02459327907337</v>
      </c>
      <c r="K224" s="521">
        <f>QDA!K224*K$205*$R224/1000</f>
        <v>0</v>
      </c>
      <c r="L224" s="521">
        <f>QDA!L224*L$205*$R224/1000</f>
        <v>130.35234910012903</v>
      </c>
      <c r="M224" s="521">
        <f>QDA!M224*M$205*$R224/1000</f>
        <v>0</v>
      </c>
      <c r="N224" s="521">
        <f>QDA!N224*N$205*$R224/1000</f>
        <v>688.39845781808708</v>
      </c>
      <c r="O224" s="10">
        <f>SUM(C224:N224)+SUM(C224:N224)*IF('Painel de Controle'!$D$45="Aditivo3",-'Levantamento eixo suspenso ADT3'!$I$16,-'Eixo Suspenso Pleito 6'!$D$20)</f>
        <v>16081.881585527708</v>
      </c>
      <c r="R224" s="315">
        <f>QD0!P25</f>
        <v>4.7525160660998287</v>
      </c>
    </row>
    <row r="225" spans="1:18">
      <c r="A225" s="126">
        <v>2031</v>
      </c>
      <c r="B225" s="497">
        <v>20</v>
      </c>
      <c r="C225" s="521">
        <f>QDA!C225*C$205*$R225/1000</f>
        <v>10895.688738717708</v>
      </c>
      <c r="D225" s="521">
        <f>QDA!D225*D$205*$R225/1000</f>
        <v>3319.0090790568424</v>
      </c>
      <c r="E225" s="521">
        <f>QDA!E225*E$205*$R225/1000</f>
        <v>1895.5429373670934</v>
      </c>
      <c r="F225" s="521">
        <f>QDA!F225*F$205*$R225/1000</f>
        <v>37.859959361104259</v>
      </c>
      <c r="G225" s="521">
        <f>QDA!G225*G$205*$R225/1000</f>
        <v>344.18144702053149</v>
      </c>
      <c r="H225" s="521">
        <f>QDA!H225*H$205*$R225/1000</f>
        <v>67.115382144262853</v>
      </c>
      <c r="I225" s="521">
        <f>QDA!I225*I$205*$R225/1000</f>
        <v>593.28277002692141</v>
      </c>
      <c r="J225" s="521">
        <f>QDA!J225*J$205*$R225/1000</f>
        <v>254.69427096976531</v>
      </c>
      <c r="K225" s="521">
        <f>QDA!K225*K$205*$R225/1000</f>
        <v>0</v>
      </c>
      <c r="L225" s="521">
        <f>QDA!L225*L$205*$R225/1000</f>
        <v>135.82383651209821</v>
      </c>
      <c r="M225" s="521">
        <f>QDA!M225*M$205*$R225/1000</f>
        <v>0</v>
      </c>
      <c r="N225" s="521">
        <f>QDA!N225*N$205*$R225/1000</f>
        <v>717.29370613829485</v>
      </c>
      <c r="O225" s="10">
        <f>SUM(C225:N225)+SUM(C225:N225)*IF('Painel de Controle'!$D$45="Aditivo3",-'Levantamento eixo suspenso ADT3'!$I$16,-'Eixo Suspenso Pleito 6'!$D$20)</f>
        <v>16794.8816183983</v>
      </c>
      <c r="R225" s="315">
        <f>QD0!P26</f>
        <v>4.7525160660998287</v>
      </c>
    </row>
    <row r="226" spans="1:18">
      <c r="A226" s="126">
        <v>2032</v>
      </c>
      <c r="B226" s="497">
        <v>21</v>
      </c>
      <c r="C226" s="521">
        <f>QDA!C226*C$205*$R226/1000</f>
        <v>11335.903979828019</v>
      </c>
      <c r="D226" s="521">
        <f>QDA!D226*D$205*$R226/1000</f>
        <v>3464.3950185979147</v>
      </c>
      <c r="E226" s="521">
        <f>QDA!E226*E$205*$R226/1000</f>
        <v>1990.6034905890501</v>
      </c>
      <c r="F226" s="521">
        <f>QDA!F226*F$205*$R226/1000</f>
        <v>39.779448112568332</v>
      </c>
      <c r="G226" s="521">
        <f>QDA!G226*G$205*$R226/1000</f>
        <v>361.63134467407366</v>
      </c>
      <c r="H226" s="521">
        <f>QDA!H226*H$205*$R226/1000</f>
        <v>70.518112185449255</v>
      </c>
      <c r="I226" s="521">
        <f>QDA!I226*I$205*$R226/1000</f>
        <v>623.36203114398631</v>
      </c>
      <c r="J226" s="521">
        <f>QDA!J226*J$205*$R226/1000</f>
        <v>267.60719524223731</v>
      </c>
      <c r="K226" s="521">
        <f>QDA!K226*K$205*$R226/1000</f>
        <v>0</v>
      </c>
      <c r="L226" s="521">
        <f>QDA!L226*L$205*$R226/1000</f>
        <v>141.31148620295542</v>
      </c>
      <c r="M226" s="521">
        <f>QDA!M226*M$205*$R226/1000</f>
        <v>0</v>
      </c>
      <c r="N226" s="521">
        <f>QDA!N226*N$205*$R226/1000</f>
        <v>746.27430840830232</v>
      </c>
      <c r="O226" s="10">
        <f>SUM(C226:N226)+SUM(C226:N226)*IF('Painel de Controle'!$D$45="Aditivo3",-'Levantamento eixo suspenso ADT3'!$I$16,-'Eixo Suspenso Pleito 6'!$D$20)</f>
        <v>17513.100329397992</v>
      </c>
      <c r="R226" s="315">
        <f>QD0!P27</f>
        <v>4.7525160660998287</v>
      </c>
    </row>
    <row r="227" spans="1:18">
      <c r="A227" s="126">
        <v>2033</v>
      </c>
      <c r="B227" s="497">
        <v>22</v>
      </c>
      <c r="C227" s="521">
        <f>QDA!C227*C$205*$R227/1000</f>
        <v>11776.501138127936</v>
      </c>
      <c r="D227" s="521">
        <f>QDA!D227*D$205*$R227/1000</f>
        <v>3610.8248018208415</v>
      </c>
      <c r="E227" s="521">
        <f>QDA!E227*E$205*$R227/1000</f>
        <v>2087.2484339369066</v>
      </c>
      <c r="F227" s="521">
        <f>QDA!F227*F$205*$R227/1000</f>
        <v>41.732293537119432</v>
      </c>
      <c r="G227" s="521">
        <f>QDA!G227*G$205*$R227/1000</f>
        <v>379.38448480871273</v>
      </c>
      <c r="H227" s="521">
        <f>QDA!H227*H$205*$R227/1000</f>
        <v>73.979974510427681</v>
      </c>
      <c r="I227" s="521">
        <f>QDA!I227*I$205*$R227/1000</f>
        <v>653.96400648848078</v>
      </c>
      <c r="J227" s="521">
        <f>QDA!J227*J$205*$R227/1000</f>
        <v>280.74451895087464</v>
      </c>
      <c r="K227" s="521">
        <f>QDA!K227*K$205*$R227/1000</f>
        <v>0</v>
      </c>
      <c r="L227" s="521">
        <f>QDA!L227*L$205*$R227/1000</f>
        <v>146.80389680972777</v>
      </c>
      <c r="M227" s="521">
        <f>QDA!M227*M$205*$R227/1000</f>
        <v>0</v>
      </c>
      <c r="N227" s="521">
        <f>QDA!N227*N$205*$R227/1000</f>
        <v>775.28005335656928</v>
      </c>
      <c r="O227" s="10">
        <f>SUM(C227:N227)+SUM(C227:N227)*IF('Painel de Controle'!$D$45="Aditivo3",-'Levantamento eixo suspenso ADT3'!$I$16,-'Eixo Suspenso Pleito 6'!$D$20)</f>
        <v>18235.166215198762</v>
      </c>
      <c r="R227" s="315">
        <f>QD0!P28</f>
        <v>4.7525160660998287</v>
      </c>
    </row>
    <row r="228" spans="1:18">
      <c r="A228" s="126">
        <v>2034</v>
      </c>
      <c r="B228" s="497">
        <v>23</v>
      </c>
      <c r="C228" s="521">
        <f>QDA!C228*C$205*$R228/1000</f>
        <v>12216.655689935913</v>
      </c>
      <c r="D228" s="521">
        <f>QDA!D228*D$205*$R228/1000</f>
        <v>3758.0581060584636</v>
      </c>
      <c r="E228" s="521">
        <f>QDA!E228*E$205*$R228/1000</f>
        <v>2185.3520658697817</v>
      </c>
      <c r="F228" s="521">
        <f>QDA!F228*F$205*$R228/1000</f>
        <v>43.716004982973921</v>
      </c>
      <c r="G228" s="521">
        <f>QDA!G228*G$205*$R228/1000</f>
        <v>397.41822513561925</v>
      </c>
      <c r="H228" s="521">
        <f>QDA!H228*H$205*$R228/1000</f>
        <v>77.496553872878138</v>
      </c>
      <c r="I228" s="521">
        <f>QDA!I228*I$205*$R228/1000</f>
        <v>685.04966641498766</v>
      </c>
      <c r="J228" s="521">
        <f>QDA!J228*J$205*$R228/1000</f>
        <v>294.08948680193242</v>
      </c>
      <c r="K228" s="521">
        <f>QDA!K228*K$205*$R228/1000</f>
        <v>0</v>
      </c>
      <c r="L228" s="521">
        <f>QDA!L228*L$205*$R228/1000</f>
        <v>152.29078995787569</v>
      </c>
      <c r="M228" s="521">
        <f>QDA!M228*M$205*$R228/1000</f>
        <v>0</v>
      </c>
      <c r="N228" s="521">
        <f>QDA!N228*N$205*$R228/1000</f>
        <v>804.25666027982663</v>
      </c>
      <c r="O228" s="10">
        <f>SUM(C228:N228)+SUM(C228:N228)*IF('Painel de Controle'!$D$45="Aditivo3",-'Levantamento eixo suspenso ADT3'!$I$16,-'Eixo Suspenso Pleito 6'!$D$20)</f>
        <v>18959.846421147511</v>
      </c>
      <c r="R228" s="315">
        <f>QD0!P29</f>
        <v>4.7525160660998287</v>
      </c>
    </row>
    <row r="229" spans="1:18">
      <c r="A229" s="126">
        <v>2035</v>
      </c>
      <c r="B229" s="497">
        <v>24</v>
      </c>
      <c r="C229" s="521">
        <f>QDA!C229*C$205*$R229/1000</f>
        <v>12655.430436481012</v>
      </c>
      <c r="D229" s="521">
        <f>QDA!D229*D$205*$R229/1000</f>
        <v>3905.8148153198968</v>
      </c>
      <c r="E229" s="521">
        <f>QDA!E229*E$205*$R229/1000</f>
        <v>2284.7601294072228</v>
      </c>
      <c r="F229" s="521">
        <f>QDA!F229*F$205*$R229/1000</f>
        <v>45.727511362074537</v>
      </c>
      <c r="G229" s="521">
        <f>QDA!G229*G$205*$R229/1000</f>
        <v>415.70464667259375</v>
      </c>
      <c r="H229" s="521">
        <f>QDA!H229*H$205*$R229/1000</f>
        <v>81.062406071273699</v>
      </c>
      <c r="I229" s="521">
        <f>QDA!I229*I$205*$R229/1000</f>
        <v>716.57088557788188</v>
      </c>
      <c r="J229" s="521">
        <f>QDA!J229*J$205*$R229/1000</f>
        <v>307.62143874856866</v>
      </c>
      <c r="K229" s="521">
        <f>QDA!K229*K$205*$R229/1000</f>
        <v>0</v>
      </c>
      <c r="L229" s="521">
        <f>QDA!L229*L$205*$R229/1000</f>
        <v>157.76048268400913</v>
      </c>
      <c r="M229" s="521">
        <f>QDA!M229*M$205*$R229/1000</f>
        <v>0</v>
      </c>
      <c r="N229" s="521">
        <f>QDA!N229*N$205*$R229/1000</f>
        <v>833.14243075809236</v>
      </c>
      <c r="O229" s="10">
        <f>SUM(C229:N229)+SUM(C229:N229)*IF('Painel de Controle'!$D$45="Aditivo3",-'Levantamento eixo suspenso ADT3'!$I$16,-'Eixo Suspenso Pleito 6'!$D$20)</f>
        <v>19685.715193309872</v>
      </c>
      <c r="R229" s="315">
        <f>QD0!P30</f>
        <v>4.7525160660998287</v>
      </c>
    </row>
    <row r="230" spans="1:18">
      <c r="A230" s="126">
        <v>2036</v>
      </c>
      <c r="B230" s="497">
        <v>25</v>
      </c>
      <c r="C230" s="521">
        <f>QDA!C230*C$205*$R230/1000</f>
        <v>13091.82282953249</v>
      </c>
      <c r="D230" s="521">
        <f>QDA!D230*D$205*$R230/1000</f>
        <v>4053.7898561763991</v>
      </c>
      <c r="E230" s="521">
        <f>QDA!E230*E$205*$R230/1000</f>
        <v>2385.2987323451243</v>
      </c>
      <c r="F230" s="521">
        <f>QDA!F230*F$205*$R230/1000</f>
        <v>47.763340089317623</v>
      </c>
      <c r="G230" s="521">
        <f>QDA!G230*G$205*$R230/1000</f>
        <v>434.21218046430619</v>
      </c>
      <c r="H230" s="521">
        <f>QDA!H230*H$205*$R230/1000</f>
        <v>84.671375159327241</v>
      </c>
      <c r="I230" s="521">
        <f>QDA!I230*I$205*$R230/1000</f>
        <v>748.4732469903463</v>
      </c>
      <c r="J230" s="521">
        <f>QDA!J230*J$205*$R230/1000</f>
        <v>321.31701376382296</v>
      </c>
      <c r="K230" s="521">
        <f>QDA!K230*K$205*$R230/1000</f>
        <v>0</v>
      </c>
      <c r="L230" s="521">
        <f>QDA!L230*L$205*$R230/1000</f>
        <v>163.20047738928403</v>
      </c>
      <c r="M230" s="521">
        <f>QDA!M230*M$205*$R230/1000</f>
        <v>0</v>
      </c>
      <c r="N230" s="521">
        <f>QDA!N230*N$205*$R230/1000</f>
        <v>861.87136423341599</v>
      </c>
      <c r="O230" s="10">
        <f>SUM(C230:N230)+SUM(C230:N230)*IF('Painel de Controle'!$D$45="Aditivo3",-'Levantamento eixo suspenso ADT3'!$I$16,-'Eixo Suspenso Pleito 6'!$D$20)</f>
        <v>20411.228301855906</v>
      </c>
      <c r="R230" s="315">
        <f>QD0!P31</f>
        <v>4.7525160660998287</v>
      </c>
    </row>
    <row r="231" spans="1:18">
      <c r="A231" s="126">
        <v>2037</v>
      </c>
      <c r="B231" s="497">
        <v>26</v>
      </c>
      <c r="C231" s="521">
        <f>QDA!C231*C$205*$R231/1000</f>
        <v>13524.704011510012</v>
      </c>
      <c r="D231" s="521">
        <f>QDA!D231*D$205*$R231/1000</f>
        <v>4201.6315637739544</v>
      </c>
      <c r="E231" s="521">
        <f>QDA!E231*E$205*$R231/1000</f>
        <v>2486.7587264781405</v>
      </c>
      <c r="F231" s="521">
        <f>QDA!F231*F$205*$R231/1000</f>
        <v>49.819299431739708</v>
      </c>
      <c r="G231" s="521">
        <f>QDA!G231*G$205*$R231/1000</f>
        <v>452.902719847642</v>
      </c>
      <c r="H231" s="521">
        <f>QDA!H231*H$205*$R231/1000</f>
        <v>88.316030337734219</v>
      </c>
      <c r="I231" s="521">
        <f>QDA!I231*I$205*$R231/1000</f>
        <v>780.69106429175758</v>
      </c>
      <c r="J231" s="521">
        <f>QDA!J231*J$205*$R231/1000</f>
        <v>335.14801291697148</v>
      </c>
      <c r="K231" s="521">
        <f>QDA!K231*K$205*$R231/1000</f>
        <v>0</v>
      </c>
      <c r="L231" s="521">
        <f>QDA!L231*L$205*$R231/1000</f>
        <v>168.59670192359445</v>
      </c>
      <c r="M231" s="521">
        <f>QDA!M231*M$205*$R231/1000</f>
        <v>0</v>
      </c>
      <c r="N231" s="521">
        <f>QDA!N231*N$205*$R231/1000</f>
        <v>890.36914484959811</v>
      </c>
      <c r="O231" s="10">
        <f>SUM(C231:N231)+SUM(C231:N231)*IF('Painel de Controle'!$D$45="Aditivo3",-'Levantamento eixo suspenso ADT3'!$I$16,-'Eixo Suspenso Pleito 6'!$D$20)</f>
        <v>21134.6183096022</v>
      </c>
      <c r="R231" s="315">
        <f>QD0!P32</f>
        <v>4.7525160660998287</v>
      </c>
    </row>
    <row r="232" spans="1:18">
      <c r="A232" s="126">
        <v>2038</v>
      </c>
      <c r="B232" s="497">
        <v>27</v>
      </c>
      <c r="C232" s="521">
        <f>QDA!C232*C$205*$R232/1000</f>
        <v>13952.796572129806</v>
      </c>
      <c r="D232" s="521">
        <f>QDA!D232*D$205*$R232/1000</f>
        <v>4348.9326534787187</v>
      </c>
      <c r="E232" s="521">
        <f>QDA!E232*E$205*$R232/1000</f>
        <v>2588.8881512036833</v>
      </c>
      <c r="F232" s="521">
        <f>QDA!F232*F$205*$R232/1000</f>
        <v>51.890323426944114</v>
      </c>
      <c r="G232" s="521">
        <f>QDA!G232*G$205*$R232/1000</f>
        <v>471.73021061922492</v>
      </c>
      <c r="H232" s="521">
        <f>QDA!H232*H$205*$R232/1000</f>
        <v>91.987391036839497</v>
      </c>
      <c r="I232" s="521">
        <f>QDA!I232*I$205*$R232/1000</f>
        <v>813.14495154894803</v>
      </c>
      <c r="J232" s="521">
        <f>QDA!J232*J$205*$R232/1000</f>
        <v>349.08035609749226</v>
      </c>
      <c r="K232" s="521">
        <f>QDA!K232*K$205*$R232/1000</f>
        <v>0</v>
      </c>
      <c r="L232" s="521">
        <f>QDA!L232*L$205*$R232/1000</f>
        <v>173.93323230363831</v>
      </c>
      <c r="M232" s="521">
        <f>QDA!M232*M$205*$R232/1000</f>
        <v>0</v>
      </c>
      <c r="N232" s="521">
        <f>QDA!N232*N$205*$R232/1000</f>
        <v>918.55167710990781</v>
      </c>
      <c r="O232" s="10">
        <f>SUM(C232:N232)+SUM(C232:N232)*IF('Painel de Controle'!$D$45="Aditivo3",-'Levantamento eixo suspenso ADT3'!$I$16,-'Eixo Suspenso Pleito 6'!$D$20)</f>
        <v>21853.852371608227</v>
      </c>
      <c r="R232" s="315">
        <f>QD0!P33</f>
        <v>4.7525160660998287</v>
      </c>
    </row>
    <row r="233" spans="1:18">
      <c r="A233" s="126">
        <v>2039</v>
      </c>
      <c r="B233" s="497">
        <v>28</v>
      </c>
      <c r="C233" s="521">
        <f>QDA!C233*C$205*$R233/1000</f>
        <v>14374.733687236145</v>
      </c>
      <c r="D233" s="521">
        <f>QDA!D233*D$205*$R233/1000</f>
        <v>4495.2484973650826</v>
      </c>
      <c r="E233" s="521">
        <f>QDA!E233*E$205*$R233/1000</f>
        <v>2691.4029504897762</v>
      </c>
      <c r="F233" s="521">
        <f>QDA!F233*F$205*$R233/1000</f>
        <v>53.97068641777232</v>
      </c>
      <c r="G233" s="521">
        <f>QDA!G233*G$205*$R233/1000</f>
        <v>490.64260135060084</v>
      </c>
      <c r="H233" s="521">
        <f>QDA!H233*H$205*$R233/1000</f>
        <v>95.675307228098305</v>
      </c>
      <c r="I233" s="521">
        <f>QDA!I233*I$205*$R233/1000</f>
        <v>845.7451851120104</v>
      </c>
      <c r="J233" s="521">
        <f>QDA!J233*J$205*$R233/1000</f>
        <v>363.07552524830294</v>
      </c>
      <c r="K233" s="521">
        <f>QDA!K233*K$205*$R233/1000</f>
        <v>0</v>
      </c>
      <c r="L233" s="521">
        <f>QDA!L233*L$205*$R233/1000</f>
        <v>179.19302992771532</v>
      </c>
      <c r="M233" s="521">
        <f>QDA!M233*M$205*$R233/1000</f>
        <v>0</v>
      </c>
      <c r="N233" s="521">
        <f>QDA!N233*N$205*$R233/1000</f>
        <v>946.32897915199499</v>
      </c>
      <c r="O233" s="10">
        <f>SUM(C233:N233)+SUM(C233:N233)*IF('Painel de Controle'!$D$45="Aditivo3",-'Levantamento eixo suspenso ADT3'!$I$16,-'Eixo Suspenso Pleito 6'!$D$20)</f>
        <v>22566.724313003931</v>
      </c>
      <c r="R233" s="315">
        <f>QD0!P34</f>
        <v>4.7525160660998287</v>
      </c>
    </row>
    <row r="234" spans="1:18">
      <c r="A234" s="126">
        <v>2040</v>
      </c>
      <c r="B234" s="497">
        <v>29</v>
      </c>
      <c r="C234" s="521">
        <f>QDA!C234*C$205*$R234/1000</f>
        <v>14788.964798848758</v>
      </c>
      <c r="D234" s="521">
        <f>QDA!D234*D$205*$R234/1000</f>
        <v>4640.0628403942164</v>
      </c>
      <c r="E234" s="521">
        <f>QDA!E234*E$205*$R234/1000</f>
        <v>2793.961476872651</v>
      </c>
      <c r="F234" s="521">
        <f>QDA!F234*F$205*$R234/1000</f>
        <v>56.053483571723277</v>
      </c>
      <c r="G234" s="521">
        <f>QDA!G234*G$205*$R234/1000</f>
        <v>509.57712083752756</v>
      </c>
      <c r="H234" s="521">
        <f>QDA!H234*H$205*$R234/1000</f>
        <v>99.367538526687937</v>
      </c>
      <c r="I234" s="521">
        <f>QDA!I234*I$205*$R234/1000</f>
        <v>878.38356311750033</v>
      </c>
      <c r="J234" s="521">
        <f>QDA!J234*J$205*$R234/1000</f>
        <v>377.08706967823247</v>
      </c>
      <c r="K234" s="521">
        <f>QDA!K234*K$205*$R234/1000</f>
        <v>0</v>
      </c>
      <c r="L234" s="521">
        <f>QDA!L234*L$205*$R234/1000</f>
        <v>184.35676579894741</v>
      </c>
      <c r="M234" s="521">
        <f>QDA!M234*M$205*$R234/1000</f>
        <v>0</v>
      </c>
      <c r="N234" s="521">
        <f>QDA!N234*N$205*$R234/1000</f>
        <v>973.59897340123996</v>
      </c>
      <c r="O234" s="10">
        <f>SUM(C234:N234)+SUM(C234:N234)*IF('Painel de Controle'!$D$45="Aditivo3",-'Levantamento eixo suspenso ADT3'!$I$16,-'Eixo Suspenso Pleito 6'!$D$20)</f>
        <v>23270.689735461256</v>
      </c>
      <c r="R234" s="315">
        <f>QD0!P35</f>
        <v>4.7525160660998287</v>
      </c>
    </row>
    <row r="235" spans="1:18">
      <c r="A235" s="126">
        <v>2041</v>
      </c>
      <c r="B235" s="497">
        <v>30</v>
      </c>
      <c r="C235" s="521">
        <f>QDA!C235*C$205*$R235/1000</f>
        <v>15193.903719197271</v>
      </c>
      <c r="D235" s="521">
        <f>QDA!D235*D$205*$R235/1000</f>
        <v>4782.8370398752832</v>
      </c>
      <c r="E235" s="521">
        <f>QDA!E235*E$205*$R235/1000</f>
        <v>2896.1970074995343</v>
      </c>
      <c r="F235" s="521">
        <f>QDA!F235*F$205*$R235/1000</f>
        <v>58.13128793912108</v>
      </c>
      <c r="G235" s="521">
        <f>QDA!G235*G$205*$R235/1000</f>
        <v>528.46625135601585</v>
      </c>
      <c r="H235" s="521">
        <f>QDA!H235*H$205*$R235/1000</f>
        <v>103.0509189764353</v>
      </c>
      <c r="I235" s="521">
        <f>QDA!I235*I$205*$R235/1000</f>
        <v>910.94370188854873</v>
      </c>
      <c r="J235" s="521">
        <f>QDA!J235*J$205*$R235/1000</f>
        <v>391.06502627149456</v>
      </c>
      <c r="K235" s="521">
        <f>QDA!K235*K$205*$R235/1000</f>
        <v>0</v>
      </c>
      <c r="L235" s="521">
        <f>QDA!L235*L$205*$R235/1000</f>
        <v>189.40466676544241</v>
      </c>
      <c r="M235" s="521">
        <f>QDA!M235*M$205*$R235/1000</f>
        <v>0</v>
      </c>
      <c r="N235" s="521">
        <f>QDA!N235*N$205*$R235/1000</f>
        <v>1000.2572366741505</v>
      </c>
      <c r="O235" s="10">
        <f>SUM(C235:N235)+SUM(C235:N235)*IF('Painel de Controle'!$D$45="Aditivo3",-'Levantamento eixo suspenso ADT3'!$I$16,-'Eixo Suspenso Pleito 6'!$D$20)</f>
        <v>23963.108798407691</v>
      </c>
      <c r="R235" s="315">
        <f>QD0!P36</f>
        <v>4.7525160660998287</v>
      </c>
    </row>
    <row r="236" spans="1:18">
      <c r="A236" s="126">
        <v>2042</v>
      </c>
      <c r="B236" s="497">
        <v>31</v>
      </c>
      <c r="C236" s="521">
        <f>QDA!C236*C$205*$R236/1000</f>
        <v>15587.96433530299</v>
      </c>
      <c r="D236" s="521">
        <f>QDA!D236*D$205*$R236/1000</f>
        <v>4923.0211932736756</v>
      </c>
      <c r="E236" s="521">
        <f>QDA!E236*E$205*$R236/1000</f>
        <v>2997.7243674788638</v>
      </c>
      <c r="F236" s="521">
        <f>QDA!F236*F$205*$R236/1000</f>
        <v>60.196283206506884</v>
      </c>
      <c r="G236" s="521">
        <f>QDA!G236*G$205*$R236/1000</f>
        <v>547.23893551133938</v>
      </c>
      <c r="H236" s="521">
        <f>QDA!H236*H$205*$R236/1000</f>
        <v>106.71159238537398</v>
      </c>
      <c r="I236" s="521">
        <f>QDA!I236*I$205*$R236/1000</f>
        <v>943.30311624084675</v>
      </c>
      <c r="J236" s="521">
        <f>QDA!J236*J$205*$R236/1000</f>
        <v>404.95681255595571</v>
      </c>
      <c r="K236" s="521">
        <f>QDA!K236*K$205*$R236/1000</f>
        <v>0</v>
      </c>
      <c r="L236" s="521">
        <f>QDA!L236*L$205*$R236/1000</f>
        <v>194.31696060764872</v>
      </c>
      <c r="M236" s="521">
        <f>QDA!M236*M$205*$R236/1000</f>
        <v>0</v>
      </c>
      <c r="N236" s="521">
        <f>QDA!N236*N$205*$R236/1000</f>
        <v>1026.1993507109796</v>
      </c>
      <c r="O236" s="10">
        <f>SUM(C236:N236)+SUM(C236:N236)*IF('Painel de Controle'!$D$45="Aditivo3",-'Levantamento eixo suspenso ADT3'!$I$16,-'Eixo Suspenso Pleito 6'!$D$20)</f>
        <v>24641.302138838939</v>
      </c>
      <c r="R236" s="315">
        <f>QD0!P37</f>
        <v>4.7525160660998287</v>
      </c>
    </row>
    <row r="237" spans="1:18">
      <c r="A237" s="126">
        <v>2043</v>
      </c>
      <c r="B237" s="497">
        <v>32</v>
      </c>
      <c r="C237" s="521">
        <f>QDA!C237*C$205*$R237/1000</f>
        <v>15969.516972126772</v>
      </c>
      <c r="D237" s="521">
        <f>QDA!D237*D$205*$R237/1000</f>
        <v>5060.0376582720919</v>
      </c>
      <c r="E237" s="521">
        <f>QDA!E237*E$205*$R237/1000</f>
        <v>3098.1271217866756</v>
      </c>
      <c r="F237" s="521">
        <f>QDA!F237*F$205*$R237/1000</f>
        <v>62.240001997319027</v>
      </c>
      <c r="G237" s="521">
        <f>QDA!G237*G$205*$R237/1000</f>
        <v>565.81819715332165</v>
      </c>
      <c r="H237" s="521">
        <f>QDA!H237*H$205*$R237/1000</f>
        <v>110.334548404225</v>
      </c>
      <c r="I237" s="521">
        <f>QDA!I237*I$205*$R237/1000</f>
        <v>975.3291185353653</v>
      </c>
      <c r="J237" s="521">
        <f>QDA!J237*J$205*$R237/1000</f>
        <v>418.70546618044625</v>
      </c>
      <c r="K237" s="521">
        <f>QDA!K237*K$205*$R237/1000</f>
        <v>0</v>
      </c>
      <c r="L237" s="521">
        <f>QDA!L237*L$205*$R237/1000</f>
        <v>199.073332068643</v>
      </c>
      <c r="M237" s="521">
        <f>QDA!M237*M$205*$R237/1000</f>
        <v>0</v>
      </c>
      <c r="N237" s="521">
        <f>QDA!N237*N$205*$R237/1000</f>
        <v>1051.3180294395333</v>
      </c>
      <c r="O237" s="10">
        <f>SUM(C237:N237)+SUM(C237:N237)*IF('Painel de Controle'!$D$45="Aditivo3",-'Levantamento eixo suspenso ADT3'!$I$16,-'Eixo Suspenso Pleito 6'!$D$20)</f>
        <v>25302.472410463575</v>
      </c>
      <c r="R237" s="315">
        <f>QD0!P38</f>
        <v>4.7525160660998287</v>
      </c>
    </row>
    <row r="238" spans="1:18">
      <c r="A238" s="126">
        <v>2044</v>
      </c>
      <c r="B238" s="497">
        <v>33</v>
      </c>
      <c r="C238" s="521">
        <f>QDA!C238*C$205*$R238/1000</f>
        <v>16337.076867845504</v>
      </c>
      <c r="D238" s="521">
        <f>QDA!D238*D$205*$R238/1000</f>
        <v>5193.3473253161155</v>
      </c>
      <c r="E238" s="521">
        <f>QDA!E238*E$205*$R238/1000</f>
        <v>3197.0048645668221</v>
      </c>
      <c r="F238" s="521">
        <f>QDA!F238*F$205*$R238/1000</f>
        <v>64.254286736052123</v>
      </c>
      <c r="G238" s="521">
        <f>QDA!G238*G$205*$R238/1000</f>
        <v>584.12987650501111</v>
      </c>
      <c r="H238" s="521">
        <f>QDA!H238*H$205*$R238/1000</f>
        <v>113.90532587648815</v>
      </c>
      <c r="I238" s="521">
        <f>QDA!I238*I$205*$R238/1000</f>
        <v>1006.8938758564271</v>
      </c>
      <c r="J238" s="521">
        <f>QDA!J238*J$205*$R238/1000</f>
        <v>432.25610890998416</v>
      </c>
      <c r="K238" s="521">
        <f>QDA!K238*K$205*$R238/1000</f>
        <v>0</v>
      </c>
      <c r="L238" s="521">
        <f>QDA!L238*L$205*$R238/1000</f>
        <v>203.65527235545596</v>
      </c>
      <c r="M238" s="521">
        <f>QDA!M238*M$205*$R238/1000</f>
        <v>0</v>
      </c>
      <c r="N238" s="521">
        <f>QDA!N238*N$205*$R238/1000</f>
        <v>1075.5155268304991</v>
      </c>
      <c r="O238" s="10">
        <f>SUM(C238:N238)+SUM(C238:N238)*IF('Painel de Controle'!$D$45="Aditivo3",-'Levantamento eixo suspenso ADT3'!$I$16,-'Eixo Suspenso Pleito 6'!$D$20)</f>
        <v>25944.02593012432</v>
      </c>
      <c r="R238" s="315">
        <f>QD0!P39</f>
        <v>4.7525160660998287</v>
      </c>
    </row>
    <row r="239" spans="1:18">
      <c r="A239" s="126">
        <v>2045</v>
      </c>
      <c r="B239" s="497">
        <v>34</v>
      </c>
      <c r="C239" s="521">
        <f>QDA!C239*C$205*$R239/1000</f>
        <v>16689.731596754045</v>
      </c>
      <c r="D239" s="521">
        <f>QDA!D239*D$205*$R239/1000</f>
        <v>5322.6079209361433</v>
      </c>
      <c r="E239" s="521">
        <f>QDA!E239*E$205*$R239/1000</f>
        <v>3294.0935720604243</v>
      </c>
      <c r="F239" s="521">
        <f>QDA!F239*F$205*$R239/1000</f>
        <v>66.233745330509507</v>
      </c>
      <c r="G239" s="521">
        <f>QDA!G239*G$205*$R239/1000</f>
        <v>602.12495454668215</v>
      </c>
      <c r="H239" s="521">
        <f>QDA!H239*H$205*$R239/1000</f>
        <v>117.4143660933205</v>
      </c>
      <c r="I239" s="521">
        <f>QDA!I239*I$205*$R239/1000</f>
        <v>1037.9128916686782</v>
      </c>
      <c r="J239" s="521">
        <f>QDA!J239*J$205*$R239/1000</f>
        <v>445.57246666994814</v>
      </c>
      <c r="K239" s="521">
        <f>QDA!K239*K$205*$R239/1000</f>
        <v>0</v>
      </c>
      <c r="L239" s="521">
        <f>QDA!L239*L$205*$R239/1000</f>
        <v>208.05140732159933</v>
      </c>
      <c r="M239" s="521">
        <f>QDA!M239*M$205*$R239/1000</f>
        <v>0</v>
      </c>
      <c r="N239" s="521">
        <f>QDA!N239*N$205*$R239/1000</f>
        <v>1098.7317753441998</v>
      </c>
      <c r="O239" s="10">
        <f>SUM(C239:N239)+SUM(C239:N239)*IF('Painel de Controle'!$D$45="Aditivo3",-'Levantamento eixo suspenso ADT3'!$I$16,-'Eixo Suspenso Pleito 6'!$D$20)</f>
        <v>26564.330248925515</v>
      </c>
      <c r="R239" s="315">
        <f>QD0!P40</f>
        <v>4.7525160660998287</v>
      </c>
    </row>
    <row r="240" spans="1:18">
      <c r="A240" s="126">
        <v>2046</v>
      </c>
      <c r="B240" s="497">
        <v>35</v>
      </c>
      <c r="C240" s="521">
        <f>QDA!C240*C$205*$R240/1000</f>
        <v>16919.7191574182</v>
      </c>
      <c r="D240" s="521">
        <f>QDA!D240*D$205*$R240/1000</f>
        <v>5407.5394438016756</v>
      </c>
      <c r="E240" s="521">
        <f>QDA!E240*E$205*$R240/1000</f>
        <v>3358.4467140025449</v>
      </c>
      <c r="F240" s="521">
        <f>QDA!F240*F$205*$R240/1000</f>
        <v>67.546524377450638</v>
      </c>
      <c r="G240" s="521">
        <f>QDA!G240*G$205*$R240/1000</f>
        <v>614.05930945934563</v>
      </c>
      <c r="H240" s="521">
        <f>QDA!H240*H$205*$R240/1000</f>
        <v>119.741565300432</v>
      </c>
      <c r="I240" s="521">
        <f>QDA!I240*I$205*$R240/1000</f>
        <v>1058.4847359745306</v>
      </c>
      <c r="J240" s="521">
        <f>QDA!J240*J$205*$R240/1000</f>
        <v>454.40388931137227</v>
      </c>
      <c r="K240" s="521">
        <f>QDA!K240*K$205*$R240/1000</f>
        <v>0</v>
      </c>
      <c r="L240" s="521">
        <f>QDA!L240*L$205*$R240/1000</f>
        <v>210.91839385072637</v>
      </c>
      <c r="M240" s="521">
        <f>QDA!M240*M$205*$R240/1000</f>
        <v>0</v>
      </c>
      <c r="N240" s="521">
        <f>QDA!N240*N$205*$R240/1000</f>
        <v>1113.872500608155</v>
      </c>
      <c r="O240" s="10">
        <f>SUM(C240:N240)+SUM(C240:N240)*IF('Painel de Controle'!$D$45="Aditivo3",-'Levantamento eixo suspenso ADT3'!$I$16,-'Eixo Suspenso Pleito 6'!$D$20)</f>
        <v>26971.091629360166</v>
      </c>
      <c r="R240" s="315">
        <f>QD0!P41</f>
        <v>4.7525160660998287</v>
      </c>
    </row>
    <row r="241" spans="2:15">
      <c r="B241" s="514" t="s">
        <v>4</v>
      </c>
      <c r="C241" s="515">
        <f t="shared" ref="C241:O241" si="18">SUM(C206:C240)</f>
        <v>347414.09442226909</v>
      </c>
      <c r="D241" s="515">
        <f t="shared" si="18"/>
        <v>106766.9267666977</v>
      </c>
      <c r="E241" s="515">
        <f t="shared" si="18"/>
        <v>61976.668033753711</v>
      </c>
      <c r="F241" s="515">
        <f t="shared" si="18"/>
        <v>1239.60137537678</v>
      </c>
      <c r="G241" s="515">
        <f t="shared" si="18"/>
        <v>11269.103356305799</v>
      </c>
      <c r="H241" s="515">
        <f t="shared" si="18"/>
        <v>2197.4751536695744</v>
      </c>
      <c r="I241" s="515">
        <f t="shared" si="18"/>
        <v>19425.116934179066</v>
      </c>
      <c r="J241" s="515">
        <f t="shared" si="18"/>
        <v>8339.1364893820846</v>
      </c>
      <c r="K241" s="515">
        <f t="shared" si="18"/>
        <v>0</v>
      </c>
      <c r="L241" s="515">
        <f t="shared" si="18"/>
        <v>4330.8060916911154</v>
      </c>
      <c r="M241" s="515">
        <f t="shared" si="18"/>
        <v>0</v>
      </c>
      <c r="N241" s="515">
        <f t="shared" si="18"/>
        <v>22871.242867585501</v>
      </c>
      <c r="O241" s="531">
        <f t="shared" si="18"/>
        <v>541461.94632241782</v>
      </c>
    </row>
    <row r="242" spans="2:15">
      <c r="E242" s="499"/>
    </row>
  </sheetData>
  <mergeCells count="17">
    <mergeCell ref="B204:B205"/>
    <mergeCell ref="O204:O205"/>
    <mergeCell ref="B84:B85"/>
    <mergeCell ref="O84:O85"/>
    <mergeCell ref="B124:B125"/>
    <mergeCell ref="O124:O125"/>
    <mergeCell ref="B164:B165"/>
    <mergeCell ref="O164:O165"/>
    <mergeCell ref="Z87:Z88"/>
    <mergeCell ref="B44:B45"/>
    <mergeCell ref="O44:O45"/>
    <mergeCell ref="B3:O3"/>
    <mergeCell ref="B4:B5"/>
    <mergeCell ref="O4:O5"/>
    <mergeCell ref="P85:P87"/>
    <mergeCell ref="P45:P47"/>
    <mergeCell ref="P5:P7"/>
  </mergeCells>
  <phoneticPr fontId="33" type="noConversion"/>
  <printOptions horizontalCentered="1"/>
  <pageMargins left="0.98425196850393704" right="0.39370078740157483" top="1.1811023622047245" bottom="0.78740157480314965" header="0.78740157480314965" footer="0.78740157480314965"/>
  <pageSetup paperSize="9" scale="83" orientation="landscape" r:id="rId1"/>
  <headerFooter>
    <oddFooter>&amp;L&amp;"Arial,Negrito"Nota: Até o início da operação da Praça de Pedágio P1, no 19&amp;Xo&amp;X mês de concessão, foi considerada a tarifa reduzida de R$ 2,906 (dois reais e novecentos e seis milésimos de real).</oddFooter>
  </headerFooter>
  <rowBreaks count="5" manualBreakCount="5">
    <brk id="42" min="1" max="14" man="1"/>
    <brk id="82" min="1" max="14" man="1"/>
    <brk id="122" min="1" max="14" man="1"/>
    <brk id="162" min="1" max="14" man="1"/>
    <brk id="202" min="1" max="14" man="1"/>
  </rowBreaks>
  <colBreaks count="1" manualBreakCount="1">
    <brk id="15" max="245" man="1"/>
  </colBreaks>
  <ignoredErrors>
    <ignoredError sqref="O54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ilha6"/>
  <dimension ref="B1:AK13"/>
  <sheetViews>
    <sheetView showGridLines="0" zoomScaleNormal="100" workbookViewId="0"/>
  </sheetViews>
  <sheetFormatPr defaultRowHeight="12.75"/>
  <cols>
    <col min="1" max="1" width="2.28515625" customWidth="1"/>
    <col min="2" max="2" width="34.28515625" customWidth="1"/>
    <col min="3" max="3" width="9.28515625" customWidth="1"/>
    <col min="4" max="5" width="9.42578125" customWidth="1"/>
    <col min="6" max="37" width="8.5703125" customWidth="1"/>
  </cols>
  <sheetData>
    <row r="1" spans="2:37" ht="30.2" customHeight="1">
      <c r="B1" s="19" t="str">
        <f>QDA!B1:O1</f>
        <v>CONCESSIONÁRIA ROTA DO ATLÂNTICO</v>
      </c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</row>
    <row r="2" spans="2:37" ht="15">
      <c r="B2" s="5" t="s">
        <v>226</v>
      </c>
      <c r="C2" s="6" t="s">
        <v>43</v>
      </c>
      <c r="E2" s="20"/>
      <c r="F2" s="20" t="str">
        <f>QDB!O2</f>
        <v>Data Base: set./10</v>
      </c>
      <c r="AD2" s="20"/>
      <c r="AF2" s="20"/>
      <c r="AI2" s="20"/>
      <c r="AK2" s="20"/>
    </row>
    <row r="3" spans="2:37" ht="30.2" customHeight="1">
      <c r="B3" s="26" t="s">
        <v>78</v>
      </c>
      <c r="C3" s="26">
        <v>1</v>
      </c>
      <c r="D3" s="26">
        <v>2</v>
      </c>
      <c r="E3" s="26">
        <v>3</v>
      </c>
      <c r="F3" s="26">
        <v>4</v>
      </c>
      <c r="G3" s="26">
        <v>5</v>
      </c>
      <c r="H3" s="26">
        <v>6</v>
      </c>
      <c r="I3" s="26">
        <v>7</v>
      </c>
      <c r="J3" s="26">
        <v>8</v>
      </c>
      <c r="K3" s="26">
        <v>9</v>
      </c>
      <c r="L3" s="26">
        <v>10</v>
      </c>
      <c r="M3" s="26">
        <v>11</v>
      </c>
      <c r="N3" s="26">
        <v>12</v>
      </c>
      <c r="O3" s="26">
        <v>13</v>
      </c>
      <c r="P3" s="26">
        <v>14</v>
      </c>
      <c r="Q3" s="26">
        <v>15</v>
      </c>
      <c r="R3" s="26">
        <v>16</v>
      </c>
      <c r="S3" s="26">
        <v>17</v>
      </c>
      <c r="T3" s="26">
        <v>18</v>
      </c>
      <c r="U3" s="26">
        <v>19</v>
      </c>
      <c r="V3" s="26">
        <v>20</v>
      </c>
      <c r="W3" s="26">
        <v>21</v>
      </c>
      <c r="X3" s="26">
        <v>22</v>
      </c>
      <c r="Y3" s="26">
        <v>23</v>
      </c>
      <c r="Z3" s="26">
        <v>24</v>
      </c>
      <c r="AA3" s="26">
        <v>25</v>
      </c>
      <c r="AB3" s="26">
        <v>26</v>
      </c>
      <c r="AC3" s="26">
        <v>27</v>
      </c>
      <c r="AD3" s="26">
        <v>28</v>
      </c>
      <c r="AE3" s="26">
        <v>29</v>
      </c>
      <c r="AF3" s="26">
        <v>30</v>
      </c>
      <c r="AG3" s="26">
        <v>31</v>
      </c>
      <c r="AH3" s="26">
        <v>32</v>
      </c>
      <c r="AI3" s="26">
        <v>33</v>
      </c>
      <c r="AJ3" s="26">
        <v>34</v>
      </c>
      <c r="AK3" s="26">
        <v>35</v>
      </c>
    </row>
    <row r="4" spans="2:37" s="23" customFormat="1" ht="24.95" customHeight="1">
      <c r="B4" s="24" t="s">
        <v>0</v>
      </c>
      <c r="C4" s="22">
        <f>C6</f>
        <v>73947.429420976914</v>
      </c>
      <c r="D4" s="22">
        <f t="shared" ref="D4:AK4" si="0">D6</f>
        <v>104706.6241578786</v>
      </c>
      <c r="E4" s="22">
        <f t="shared" si="0"/>
        <v>107531.48557563826</v>
      </c>
      <c r="F4" s="22">
        <f t="shared" si="0"/>
        <v>107531.48557563826</v>
      </c>
      <c r="G4" s="22">
        <f t="shared" si="0"/>
        <v>107531.48557563826</v>
      </c>
      <c r="H4" s="22">
        <f t="shared" si="0"/>
        <v>107531.48557563826</v>
      </c>
      <c r="I4" s="22">
        <f t="shared" si="0"/>
        <v>107531.48557563826</v>
      </c>
      <c r="J4" s="22">
        <f t="shared" si="0"/>
        <v>107531.48557563826</v>
      </c>
      <c r="K4" s="22">
        <f t="shared" si="0"/>
        <v>107531.48557563826</v>
      </c>
      <c r="L4" s="22">
        <f t="shared" si="0"/>
        <v>107531.48557563826</v>
      </c>
      <c r="M4" s="22">
        <f t="shared" si="0"/>
        <v>107531.48557563826</v>
      </c>
      <c r="N4" s="22">
        <f t="shared" si="0"/>
        <v>107531.48557563826</v>
      </c>
      <c r="O4" s="22">
        <f t="shared" si="0"/>
        <v>107531.48557563826</v>
      </c>
      <c r="P4" s="22">
        <f t="shared" si="0"/>
        <v>107531.48557563826</v>
      </c>
      <c r="Q4" s="22">
        <f t="shared" si="0"/>
        <v>107531.48557563826</v>
      </c>
      <c r="R4" s="22">
        <f t="shared" si="0"/>
        <v>107531.48557563826</v>
      </c>
      <c r="S4" s="22">
        <f t="shared" si="0"/>
        <v>107531.48557563826</v>
      </c>
      <c r="T4" s="22">
        <f t="shared" si="0"/>
        <v>107531.48557563826</v>
      </c>
      <c r="U4" s="22">
        <f t="shared" si="0"/>
        <v>107531.48557563826</v>
      </c>
      <c r="V4" s="22">
        <f t="shared" si="0"/>
        <v>107531.48557563826</v>
      </c>
      <c r="W4" s="22">
        <f t="shared" si="0"/>
        <v>107531.48557563826</v>
      </c>
      <c r="X4" s="22">
        <f t="shared" si="0"/>
        <v>107531.48557563826</v>
      </c>
      <c r="Y4" s="22">
        <f t="shared" si="0"/>
        <v>107531.48557563826</v>
      </c>
      <c r="Z4" s="22">
        <f t="shared" si="0"/>
        <v>107531.48557563826</v>
      </c>
      <c r="AA4" s="22">
        <f t="shared" si="0"/>
        <v>107531.48557563826</v>
      </c>
      <c r="AB4" s="22">
        <f t="shared" si="0"/>
        <v>107531.48557563826</v>
      </c>
      <c r="AC4" s="22">
        <f t="shared" si="0"/>
        <v>107531.48557563826</v>
      </c>
      <c r="AD4" s="22">
        <f t="shared" si="0"/>
        <v>107531.48557563826</v>
      </c>
      <c r="AE4" s="22">
        <f t="shared" si="0"/>
        <v>107531.48557563826</v>
      </c>
      <c r="AF4" s="22">
        <f t="shared" si="0"/>
        <v>107531.48557563826</v>
      </c>
      <c r="AG4" s="22">
        <f t="shared" si="0"/>
        <v>107531.48557563826</v>
      </c>
      <c r="AH4" s="22">
        <f t="shared" si="0"/>
        <v>107531.48557563826</v>
      </c>
      <c r="AI4" s="22">
        <f t="shared" si="0"/>
        <v>107531.48557563826</v>
      </c>
      <c r="AJ4" s="22">
        <f t="shared" si="0"/>
        <v>107531.48557563826</v>
      </c>
      <c r="AK4" s="22">
        <f t="shared" si="0"/>
        <v>107531.48557563826</v>
      </c>
    </row>
    <row r="5" spans="2:37" s="23" customFormat="1" ht="24.95" customHeight="1">
      <c r="B5" s="24" t="s">
        <v>1</v>
      </c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</row>
    <row r="6" spans="2:37" s="23" customFormat="1" ht="24.95" customHeight="1">
      <c r="B6" s="24" t="s">
        <v>2</v>
      </c>
      <c r="C6" s="22">
        <f>C11+C13</f>
        <v>73947.429420976914</v>
      </c>
      <c r="D6" s="22">
        <f>C6+D7</f>
        <v>104706.6241578786</v>
      </c>
      <c r="E6" s="22">
        <f t="shared" ref="E6:AK6" si="1">D6+E7</f>
        <v>107531.48557563826</v>
      </c>
      <c r="F6" s="22">
        <f t="shared" si="1"/>
        <v>107531.48557563826</v>
      </c>
      <c r="G6" s="22">
        <f t="shared" si="1"/>
        <v>107531.48557563826</v>
      </c>
      <c r="H6" s="22">
        <f t="shared" si="1"/>
        <v>107531.48557563826</v>
      </c>
      <c r="I6" s="22">
        <f t="shared" si="1"/>
        <v>107531.48557563826</v>
      </c>
      <c r="J6" s="22">
        <f t="shared" si="1"/>
        <v>107531.48557563826</v>
      </c>
      <c r="K6" s="22">
        <f t="shared" si="1"/>
        <v>107531.48557563826</v>
      </c>
      <c r="L6" s="22">
        <f t="shared" si="1"/>
        <v>107531.48557563826</v>
      </c>
      <c r="M6" s="22">
        <f t="shared" si="1"/>
        <v>107531.48557563826</v>
      </c>
      <c r="N6" s="22">
        <f t="shared" si="1"/>
        <v>107531.48557563826</v>
      </c>
      <c r="O6" s="22">
        <f t="shared" si="1"/>
        <v>107531.48557563826</v>
      </c>
      <c r="P6" s="22">
        <f t="shared" si="1"/>
        <v>107531.48557563826</v>
      </c>
      <c r="Q6" s="22">
        <f t="shared" si="1"/>
        <v>107531.48557563826</v>
      </c>
      <c r="R6" s="22">
        <f t="shared" si="1"/>
        <v>107531.48557563826</v>
      </c>
      <c r="S6" s="22">
        <f t="shared" si="1"/>
        <v>107531.48557563826</v>
      </c>
      <c r="T6" s="22">
        <f t="shared" si="1"/>
        <v>107531.48557563826</v>
      </c>
      <c r="U6" s="22">
        <f t="shared" si="1"/>
        <v>107531.48557563826</v>
      </c>
      <c r="V6" s="22">
        <f t="shared" si="1"/>
        <v>107531.48557563826</v>
      </c>
      <c r="W6" s="22">
        <f t="shared" si="1"/>
        <v>107531.48557563826</v>
      </c>
      <c r="X6" s="22">
        <f t="shared" si="1"/>
        <v>107531.48557563826</v>
      </c>
      <c r="Y6" s="22">
        <f t="shared" si="1"/>
        <v>107531.48557563826</v>
      </c>
      <c r="Z6" s="22">
        <f t="shared" si="1"/>
        <v>107531.48557563826</v>
      </c>
      <c r="AA6" s="22">
        <f t="shared" si="1"/>
        <v>107531.48557563826</v>
      </c>
      <c r="AB6" s="22">
        <f t="shared" si="1"/>
        <v>107531.48557563826</v>
      </c>
      <c r="AC6" s="22">
        <f t="shared" si="1"/>
        <v>107531.48557563826</v>
      </c>
      <c r="AD6" s="22">
        <f t="shared" si="1"/>
        <v>107531.48557563826</v>
      </c>
      <c r="AE6" s="22">
        <f t="shared" si="1"/>
        <v>107531.48557563826</v>
      </c>
      <c r="AF6" s="22">
        <f t="shared" si="1"/>
        <v>107531.48557563826</v>
      </c>
      <c r="AG6" s="22">
        <f t="shared" si="1"/>
        <v>107531.48557563826</v>
      </c>
      <c r="AH6" s="22">
        <f t="shared" si="1"/>
        <v>107531.48557563826</v>
      </c>
      <c r="AI6" s="22">
        <f t="shared" si="1"/>
        <v>107531.48557563826</v>
      </c>
      <c r="AJ6" s="22">
        <f t="shared" si="1"/>
        <v>107531.48557563826</v>
      </c>
      <c r="AK6" s="22">
        <f t="shared" si="1"/>
        <v>107531.48557563826</v>
      </c>
    </row>
    <row r="7" spans="2:37" s="23" customFormat="1" ht="24.95" customHeight="1">
      <c r="B7" s="24" t="s">
        <v>3</v>
      </c>
      <c r="C7" s="22">
        <f>C11+C13</f>
        <v>73947.429420976914</v>
      </c>
      <c r="D7" s="22">
        <f>D11+D13</f>
        <v>30759.194736901693</v>
      </c>
      <c r="E7" s="22">
        <f>E13</f>
        <v>2824.8614177596646</v>
      </c>
      <c r="F7" s="22">
        <f t="shared" ref="F7:AK7" si="2">F13</f>
        <v>0</v>
      </c>
      <c r="G7" s="22">
        <f t="shared" si="2"/>
        <v>0</v>
      </c>
      <c r="H7" s="22">
        <f t="shared" si="2"/>
        <v>0</v>
      </c>
      <c r="I7" s="22">
        <f t="shared" si="2"/>
        <v>0</v>
      </c>
      <c r="J7" s="22">
        <f t="shared" si="2"/>
        <v>0</v>
      </c>
      <c r="K7" s="22">
        <f t="shared" si="2"/>
        <v>0</v>
      </c>
      <c r="L7" s="22">
        <f t="shared" si="2"/>
        <v>0</v>
      </c>
      <c r="M7" s="22">
        <f t="shared" si="2"/>
        <v>0</v>
      </c>
      <c r="N7" s="22">
        <f t="shared" si="2"/>
        <v>0</v>
      </c>
      <c r="O7" s="22">
        <f t="shared" si="2"/>
        <v>0</v>
      </c>
      <c r="P7" s="22">
        <f t="shared" si="2"/>
        <v>0</v>
      </c>
      <c r="Q7" s="22">
        <f t="shared" si="2"/>
        <v>0</v>
      </c>
      <c r="R7" s="22">
        <f t="shared" si="2"/>
        <v>0</v>
      </c>
      <c r="S7" s="22">
        <f t="shared" si="2"/>
        <v>0</v>
      </c>
      <c r="T7" s="22">
        <f t="shared" si="2"/>
        <v>0</v>
      </c>
      <c r="U7" s="22">
        <f t="shared" si="2"/>
        <v>0</v>
      </c>
      <c r="V7" s="22">
        <f t="shared" si="2"/>
        <v>0</v>
      </c>
      <c r="W7" s="22">
        <f t="shared" si="2"/>
        <v>0</v>
      </c>
      <c r="X7" s="22">
        <f t="shared" si="2"/>
        <v>0</v>
      </c>
      <c r="Y7" s="22">
        <f t="shared" si="2"/>
        <v>0</v>
      </c>
      <c r="Z7" s="22">
        <f t="shared" si="2"/>
        <v>0</v>
      </c>
      <c r="AA7" s="22">
        <f t="shared" si="2"/>
        <v>0</v>
      </c>
      <c r="AB7" s="22">
        <f t="shared" si="2"/>
        <v>0</v>
      </c>
      <c r="AC7" s="22">
        <f t="shared" si="2"/>
        <v>0</v>
      </c>
      <c r="AD7" s="22">
        <f t="shared" si="2"/>
        <v>0</v>
      </c>
      <c r="AE7" s="22">
        <f t="shared" si="2"/>
        <v>0</v>
      </c>
      <c r="AF7" s="22">
        <f t="shared" si="2"/>
        <v>0</v>
      </c>
      <c r="AG7" s="22">
        <f t="shared" si="2"/>
        <v>0</v>
      </c>
      <c r="AH7" s="22">
        <f t="shared" si="2"/>
        <v>0</v>
      </c>
      <c r="AI7" s="22">
        <f t="shared" si="2"/>
        <v>0</v>
      </c>
      <c r="AJ7" s="22">
        <f t="shared" si="2"/>
        <v>0</v>
      </c>
      <c r="AK7" s="22">
        <f t="shared" si="2"/>
        <v>0</v>
      </c>
    </row>
    <row r="9" spans="2:37">
      <c r="B9" s="76" t="s">
        <v>295</v>
      </c>
      <c r="C9" s="77">
        <f>QDF!E9-QDF!E8</f>
        <v>83774.954416808643</v>
      </c>
      <c r="D9" s="77">
        <f>QDF!F9-QDF!F8</f>
        <v>133259.29477541571</v>
      </c>
      <c r="E9" s="78">
        <f>SUM(C9:D9)</f>
        <v>217034.24919222435</v>
      </c>
    </row>
    <row r="10" spans="2:37">
      <c r="B10" s="76" t="s">
        <v>296</v>
      </c>
      <c r="C10" s="69">
        <f>C9-C11</f>
        <v>23774.954416808643</v>
      </c>
      <c r="D10" s="69">
        <f>E10-C10</f>
        <v>128149.02001774838</v>
      </c>
      <c r="E10" s="78">
        <f>E9*F10</f>
        <v>151923.97443455702</v>
      </c>
      <c r="F10" s="120">
        <v>0.7</v>
      </c>
    </row>
    <row r="11" spans="2:37">
      <c r="B11" s="76" t="s">
        <v>297</v>
      </c>
      <c r="C11" s="69">
        <v>60000</v>
      </c>
      <c r="D11" s="69">
        <f>D9-D10</f>
        <v>5110.2747576673282</v>
      </c>
      <c r="E11" s="78">
        <f>SUM(C11:D11)</f>
        <v>65110.274757667328</v>
      </c>
    </row>
    <row r="13" spans="2:37">
      <c r="B13" s="76" t="s">
        <v>308</v>
      </c>
      <c r="C13" s="69">
        <f>IF(QDM!D5-QDM!D12-QDM!D28&lt;0,-(QDM!D5-QDM!D12-QDM!D28),0)</f>
        <v>13947.429420976914</v>
      </c>
      <c r="D13" s="69">
        <f>IF(QDM!E5-QDM!E12-QDM!E28&lt;0,-(QDM!E5-QDM!E12-QDM!E28),0)</f>
        <v>25648.919979234364</v>
      </c>
      <c r="E13" s="69">
        <f>IF(QDM!F5-QDM!F12-QDM!F28&lt;0,-(QDM!F5-QDM!F12-QDM!F28),0)</f>
        <v>2824.8614177596646</v>
      </c>
      <c r="F13" s="69">
        <f>IF(QDM!G5-QDM!G12-QDM!G28&lt;0,-(QDM!G5-QDM!G12-QDM!G28),0)</f>
        <v>0</v>
      </c>
      <c r="G13" s="69">
        <f>IF(QDM!H5-QDM!H12-QDM!H28&lt;0,-(QDM!H5-QDM!H12-QDM!H28),0)</f>
        <v>0</v>
      </c>
      <c r="H13" s="69">
        <f>IF(QDM!I5-QDM!I12-QDM!I28&lt;0,-(QDM!I5-QDM!I12-QDM!I28),0)</f>
        <v>0</v>
      </c>
      <c r="I13" s="69">
        <f>IF(QDM!J5-QDM!J12-QDM!J28&lt;0,-(QDM!J5-QDM!J12-QDM!J28),0)</f>
        <v>0</v>
      </c>
      <c r="J13" s="69">
        <f>IF(QDM!K5-QDM!K12-QDM!K28&lt;0,-(QDM!K5-QDM!K12-QDM!K28),0)</f>
        <v>0</v>
      </c>
      <c r="K13" s="69">
        <f>IF(QDM!L5-QDM!L12-QDM!L28&lt;0,-(QDM!L5-QDM!L12-QDM!L28),0)</f>
        <v>0</v>
      </c>
      <c r="L13" s="69">
        <f>IF(QDM!M5-QDM!M12-QDM!M28&lt;0,-(QDM!M5-QDM!M12-QDM!M28),0)</f>
        <v>0</v>
      </c>
      <c r="M13" s="69">
        <f>IF(QDM!N5-QDM!N12-QDM!N28&lt;0,-(QDM!N5-QDM!N12-QDM!N28),0)</f>
        <v>0</v>
      </c>
      <c r="N13" s="69">
        <f>IF(QDM!O5-QDM!O12-QDM!O28&lt;0,-(QDM!O5-QDM!O12-QDM!O28),0)</f>
        <v>0</v>
      </c>
      <c r="O13" s="69">
        <f>IF(QDM!P5-QDM!P12-QDM!P28&lt;0,-(QDM!P5-QDM!P12-QDM!P28),0)</f>
        <v>0</v>
      </c>
      <c r="P13" s="69">
        <f>IF(QDM!Q5-QDM!Q12-QDM!Q28&lt;0,-(QDM!Q5-QDM!Q12-QDM!Q28),0)</f>
        <v>0</v>
      </c>
      <c r="Q13" s="69">
        <f>IF(QDM!R5-QDM!R12-QDM!R28&lt;0,-(QDM!R5-QDM!R12-QDM!R28),0)</f>
        <v>0</v>
      </c>
      <c r="R13" s="69">
        <f>IF(QDM!S5-QDM!S12-QDM!S28&lt;0,-(QDM!S5-QDM!S12-QDM!S28),0)</f>
        <v>0</v>
      </c>
      <c r="S13" s="69">
        <f>IF(QDM!T5-QDM!T12-QDM!T28&lt;0,-(QDM!T5-QDM!T12-QDM!T28),0)</f>
        <v>0</v>
      </c>
      <c r="T13" s="69">
        <f>IF(QDM!U5-QDM!U12-QDM!U28&lt;0,-(QDM!U5-QDM!U12-QDM!U28),0)</f>
        <v>0</v>
      </c>
      <c r="U13" s="69">
        <f>IF(QDM!V5-QDM!V12-QDM!V28&lt;0,-(QDM!V5-QDM!V12-QDM!V28),0)</f>
        <v>0</v>
      </c>
      <c r="V13" s="69">
        <f>IF(QDM!W5-QDM!W12-QDM!W28&lt;0,-(QDM!W5-QDM!W12-QDM!W28),0)</f>
        <v>0</v>
      </c>
      <c r="W13" s="69">
        <f>IF(QDM!X5-QDM!X12-QDM!X28&lt;0,-(QDM!X5-QDM!X12-QDM!X28),0)</f>
        <v>0</v>
      </c>
      <c r="X13" s="69">
        <f>IF(QDM!Y5-QDM!Y12-QDM!Y28&lt;0,-(QDM!Y5-QDM!Y12-QDM!Y28),0)</f>
        <v>0</v>
      </c>
      <c r="Y13" s="69">
        <f>IF(QDM!Z5-QDM!Z12-QDM!Z28&lt;0,-(QDM!Z5-QDM!Z12-QDM!Z28),0)</f>
        <v>0</v>
      </c>
      <c r="Z13" s="69">
        <f>IF(QDM!AA5-QDM!AA12-QDM!AA28&lt;0,-(QDM!AA5-QDM!AA12-QDM!AA28),0)</f>
        <v>0</v>
      </c>
      <c r="AA13" s="69">
        <f>IF(QDM!AB5-QDM!AB12-QDM!AB28&lt;0,-(QDM!AB5-QDM!AB12-QDM!AB28),0)</f>
        <v>0</v>
      </c>
      <c r="AB13" s="69">
        <f>IF(QDM!AC5-QDM!AC12-QDM!AC28&lt;0,-(QDM!AC5-QDM!AC12-QDM!AC28),0)</f>
        <v>0</v>
      </c>
      <c r="AC13" s="69">
        <f>IF(QDM!AD5-QDM!AD12-QDM!AD28&lt;0,-(QDM!AD5-QDM!AD12-QDM!AD28),0)</f>
        <v>0</v>
      </c>
      <c r="AD13" s="69">
        <f>IF(QDM!AE5-QDM!AE12-QDM!AE28&lt;0,-(QDM!AE5-QDM!AE12-QDM!AE28),0)</f>
        <v>0</v>
      </c>
      <c r="AE13" s="69">
        <f>IF(QDM!AF5-QDM!AF12-QDM!AF28&lt;0,-(QDM!AF5-QDM!AF12-QDM!AF28),0)</f>
        <v>0</v>
      </c>
      <c r="AF13" s="69">
        <f>IF(QDM!AG5-QDM!AG12-QDM!AG28&lt;0,-(QDM!AG5-QDM!AG12-QDM!AG28),0)</f>
        <v>0</v>
      </c>
      <c r="AG13" s="69">
        <f>IF(QDM!AH5-QDM!AH12-QDM!AH28&lt;0,-(QDM!AH5-QDM!AH12-QDM!AH28),0)</f>
        <v>0</v>
      </c>
      <c r="AH13" s="69">
        <f>IF(QDM!AI5-QDM!AI12-QDM!AI28&lt;0,-(QDM!AI5-QDM!AI12-QDM!AI28),0)</f>
        <v>0</v>
      </c>
      <c r="AI13" s="69">
        <f>IF(QDM!AJ5-QDM!AJ12-QDM!AJ28&lt;0,-(QDM!AJ5-QDM!AJ12-QDM!AJ28),0)</f>
        <v>0</v>
      </c>
      <c r="AJ13" s="69">
        <f>IF(QDM!AK5-QDM!AK12-QDM!AK28&lt;0,-(QDM!AK5-QDM!AK12-QDM!AK28),0)</f>
        <v>0</v>
      </c>
      <c r="AK13" s="69">
        <f>IF(QDM!AL5-QDM!AL12-QDM!AL28&lt;0,-(QDM!AL5-QDM!AL12-QDM!AL28),0)</f>
        <v>0</v>
      </c>
    </row>
  </sheetData>
  <phoneticPr fontId="16" type="noConversion"/>
  <printOptions horizontalCentered="1"/>
  <pageMargins left="0.98425196850393704" right="0.39370078740157483" top="1.1811023622047245" bottom="0.78740157480314965" header="0.78740157480314965" footer="0.78740157480314965"/>
  <pageSetup paperSize="9" scale="69" orientation="landscape" horizontalDpi="300" verticalDpi="300" r:id="rId1"/>
  <headerFooter>
    <oddFooter>&amp;L&amp;"Arial,Negrito"Nota: Estimativa de necessidade de aportes de capital, em função do fluxo de caixa projetado e de capital inicial mínimo exigido na SPE, na assinatura do contrato de concessão, de R$ 60 milhões, previsto no Edital.</oddFooter>
  </headerFooter>
  <colBreaks count="1" manualBreakCount="1">
    <brk id="20" max="9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ilha7"/>
  <dimension ref="A1:AT72"/>
  <sheetViews>
    <sheetView showGridLines="0" zoomScale="85" zoomScaleNormal="85" workbookViewId="0">
      <pane xSplit="3" ySplit="3" topLeftCell="D33" activePane="bottomRight" state="frozen"/>
      <selection activeCell="F15" sqref="F15"/>
      <selection pane="topRight" activeCell="F15" sqref="F15"/>
      <selection pane="bottomLeft" activeCell="F15" sqref="F15"/>
      <selection pane="bottomRight" activeCell="P45" sqref="P45"/>
    </sheetView>
  </sheetViews>
  <sheetFormatPr defaultRowHeight="12.75"/>
  <cols>
    <col min="1" max="1" width="3.7109375" customWidth="1"/>
    <col min="2" max="2" width="52.85546875" customWidth="1"/>
    <col min="3" max="3" width="12.7109375" customWidth="1"/>
    <col min="4" max="5" width="8.7109375" customWidth="1"/>
    <col min="6" max="6" width="10.140625" bestFit="1" customWidth="1"/>
    <col min="7" max="38" width="8.7109375" customWidth="1"/>
  </cols>
  <sheetData>
    <row r="1" spans="1:46" ht="30.2" customHeight="1">
      <c r="B1" s="19" t="str">
        <f>QDA!B1:O1</f>
        <v>CONCESSIONÁRIA ROTA DO ATLÂNTICO</v>
      </c>
      <c r="C1" s="66"/>
      <c r="D1" s="19"/>
      <c r="E1" s="154"/>
      <c r="F1" s="559"/>
      <c r="G1" s="559"/>
      <c r="H1" s="19"/>
      <c r="I1" s="19"/>
      <c r="J1" s="880"/>
      <c r="K1" s="19"/>
      <c r="L1" s="19"/>
      <c r="M1" s="207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</row>
    <row r="2" spans="1:46" ht="15">
      <c r="B2" s="5" t="s">
        <v>227</v>
      </c>
      <c r="C2" s="6"/>
      <c r="D2" s="6" t="s">
        <v>43</v>
      </c>
      <c r="F2" s="148"/>
      <c r="G2" s="20" t="s">
        <v>230</v>
      </c>
      <c r="AG2" s="20"/>
      <c r="AL2" s="20"/>
      <c r="AN2" t="s">
        <v>447</v>
      </c>
      <c r="AR2" t="s">
        <v>448</v>
      </c>
    </row>
    <row r="3" spans="1:46" s="25" customFormat="1" ht="30.2" customHeight="1">
      <c r="B3" s="26" t="s">
        <v>78</v>
      </c>
      <c r="C3" s="26" t="s">
        <v>4</v>
      </c>
      <c r="D3" s="26">
        <v>1</v>
      </c>
      <c r="E3" s="26">
        <v>2</v>
      </c>
      <c r="F3" s="26">
        <v>3</v>
      </c>
      <c r="G3" s="26">
        <v>4</v>
      </c>
      <c r="H3" s="26">
        <v>5</v>
      </c>
      <c r="I3" s="26">
        <v>6</v>
      </c>
      <c r="J3" s="26">
        <v>7</v>
      </c>
      <c r="K3" s="26">
        <v>8</v>
      </c>
      <c r="L3" s="26">
        <v>9</v>
      </c>
      <c r="M3" s="26">
        <v>10</v>
      </c>
      <c r="N3" s="26">
        <v>11</v>
      </c>
      <c r="O3" s="26">
        <v>12</v>
      </c>
      <c r="P3" s="26">
        <v>13</v>
      </c>
      <c r="Q3" s="26">
        <v>14</v>
      </c>
      <c r="R3" s="26">
        <v>15</v>
      </c>
      <c r="S3" s="26">
        <v>16</v>
      </c>
      <c r="T3" s="26">
        <v>17</v>
      </c>
      <c r="U3" s="26">
        <v>18</v>
      </c>
      <c r="V3" s="26">
        <v>19</v>
      </c>
      <c r="W3" s="26">
        <v>20</v>
      </c>
      <c r="X3" s="26">
        <v>21</v>
      </c>
      <c r="Y3" s="26">
        <v>22</v>
      </c>
      <c r="Z3" s="26">
        <v>23</v>
      </c>
      <c r="AA3" s="26">
        <v>24</v>
      </c>
      <c r="AB3" s="26">
        <v>25</v>
      </c>
      <c r="AC3" s="26">
        <v>26</v>
      </c>
      <c r="AD3" s="26">
        <v>27</v>
      </c>
      <c r="AE3" s="26">
        <v>28</v>
      </c>
      <c r="AF3" s="26">
        <v>29</v>
      </c>
      <c r="AG3" s="26">
        <v>30</v>
      </c>
      <c r="AH3" s="26">
        <v>31</v>
      </c>
      <c r="AI3" s="26">
        <v>32</v>
      </c>
      <c r="AJ3" s="26">
        <v>33</v>
      </c>
      <c r="AK3" s="26">
        <v>34</v>
      </c>
      <c r="AL3" s="26">
        <v>35</v>
      </c>
      <c r="AN3" s="26">
        <v>1</v>
      </c>
      <c r="AO3" s="26">
        <v>2</v>
      </c>
      <c r="AP3" s="26">
        <v>3</v>
      </c>
      <c r="AR3" s="26">
        <v>1</v>
      </c>
      <c r="AS3" s="26">
        <v>2</v>
      </c>
      <c r="AT3" s="26">
        <v>3</v>
      </c>
    </row>
    <row r="4" spans="1:46" s="23" customFormat="1" ht="24.95" customHeight="1">
      <c r="B4" s="34" t="s">
        <v>5</v>
      </c>
      <c r="C4" s="35">
        <f t="shared" ref="C4:C26" si="0">SUM(D4:AL4)</f>
        <v>555533.45537539967</v>
      </c>
      <c r="D4" s="36">
        <f>SUM(D5:D10)</f>
        <v>7455.8457163747034</v>
      </c>
      <c r="E4" s="36">
        <f>SUM(E5:E10)</f>
        <v>9922.863516580006</v>
      </c>
      <c r="F4" s="36">
        <f>SUM(F5:F10)</f>
        <v>12321.595480450731</v>
      </c>
      <c r="G4" s="36">
        <f t="shared" ref="G4:AG4" si="1">SUM(G5:G10)</f>
        <v>12682.523364228677</v>
      </c>
      <c r="H4" s="36">
        <f t="shared" si="1"/>
        <v>12761.712849421538</v>
      </c>
      <c r="I4" s="36">
        <f t="shared" si="1"/>
        <v>12875.347534140599</v>
      </c>
      <c r="J4" s="36">
        <f t="shared" si="1"/>
        <v>12979.233453086083</v>
      </c>
      <c r="K4" s="36">
        <f t="shared" si="1"/>
        <v>13082.453213821447</v>
      </c>
      <c r="L4" s="36">
        <f t="shared" si="1"/>
        <v>13400.647708165157</v>
      </c>
      <c r="M4" s="36">
        <f t="shared" si="1"/>
        <v>13506.805895015372</v>
      </c>
      <c r="N4" s="36">
        <f t="shared" si="1"/>
        <v>13683.354426034399</v>
      </c>
      <c r="O4" s="36">
        <f t="shared" si="1"/>
        <v>13859.607490079939</v>
      </c>
      <c r="P4" s="36">
        <f t="shared" si="1"/>
        <v>14034.809669827671</v>
      </c>
      <c r="Q4" s="36">
        <f t="shared" si="1"/>
        <v>14208.340441234743</v>
      </c>
      <c r="R4" s="36">
        <f t="shared" si="1"/>
        <v>14811.531761109753</v>
      </c>
      <c r="S4" s="36">
        <f t="shared" si="1"/>
        <v>15504.440541601485</v>
      </c>
      <c r="T4" s="36">
        <f t="shared" si="1"/>
        <v>15681.048116952637</v>
      </c>
      <c r="U4" s="36">
        <f t="shared" si="1"/>
        <v>15854.650121104696</v>
      </c>
      <c r="V4" s="36">
        <f t="shared" si="1"/>
        <v>16025.393135193557</v>
      </c>
      <c r="W4" s="36">
        <f t="shared" si="1"/>
        <v>16195.890416402099</v>
      </c>
      <c r="X4" s="36">
        <f t="shared" si="1"/>
        <v>17486.588340631086</v>
      </c>
      <c r="Y4" s="36">
        <f t="shared" si="1"/>
        <v>17724.098651725501</v>
      </c>
      <c r="Z4" s="36">
        <f t="shared" si="1"/>
        <v>17956.765442127107</v>
      </c>
      <c r="AA4" s="36">
        <f t="shared" si="1"/>
        <v>18184.45332274575</v>
      </c>
      <c r="AB4" s="36">
        <f t="shared" si="1"/>
        <v>18407.004305323651</v>
      </c>
      <c r="AC4" s="36">
        <f t="shared" si="1"/>
        <v>18624.207794792401</v>
      </c>
      <c r="AD4" s="36">
        <f t="shared" si="1"/>
        <v>18835.79255388027</v>
      </c>
      <c r="AE4" s="36">
        <f t="shared" si="1"/>
        <v>19041.457643620968</v>
      </c>
      <c r="AF4" s="36">
        <f t="shared" si="1"/>
        <v>19240.826766946637</v>
      </c>
      <c r="AG4" s="36">
        <f t="shared" si="1"/>
        <v>19433.520296761293</v>
      </c>
      <c r="AH4" s="36">
        <f>SUM(AH5:AH10)</f>
        <v>19619.167915325561</v>
      </c>
      <c r="AI4" s="36">
        <f>SUM(AI5:AI10)</f>
        <v>19797.383750828383</v>
      </c>
      <c r="AJ4" s="36">
        <f>SUM(AJ5:AJ10)</f>
        <v>19967.8495920323</v>
      </c>
      <c r="AK4" s="36">
        <f>SUM(AK5:AK10)</f>
        <v>20130.505674329655</v>
      </c>
      <c r="AL4" s="36">
        <f>SUM(AL5:AL10)</f>
        <v>20235.738473503752</v>
      </c>
      <c r="AN4" s="36">
        <f>SUM(AN5:AN10)</f>
        <v>7455.8457163747062</v>
      </c>
      <c r="AO4" s="36">
        <f>SUM(AO5:AO10)</f>
        <v>10621.74285458892</v>
      </c>
      <c r="AP4" s="36">
        <f>SUM(AP5:AP10)</f>
        <v>13001.536186435791</v>
      </c>
      <c r="AR4" s="36">
        <f>SUM(AR5:AR10)</f>
        <v>7455.8457163747062</v>
      </c>
      <c r="AS4" s="36">
        <f>SUM(AS5:AS10)</f>
        <v>10161.444528967149</v>
      </c>
      <c r="AT4" s="36">
        <f>SUM(AT5:AT10)</f>
        <v>12778.63942982966</v>
      </c>
    </row>
    <row r="5" spans="1:46" ht="18" customHeight="1">
      <c r="B5" s="32" t="s">
        <v>183</v>
      </c>
      <c r="C5" s="63">
        <f t="shared" si="0"/>
        <v>262495.41168670822</v>
      </c>
      <c r="D5" s="10">
        <v>6114.4397420646383</v>
      </c>
      <c r="E5" s="10">
        <v>6641.7097867101656</v>
      </c>
      <c r="F5" s="10">
        <v>6389.1613764260592</v>
      </c>
      <c r="G5" s="10">
        <v>6430.1788877361423</v>
      </c>
      <c r="H5" s="10">
        <v>6470.3288280275228</v>
      </c>
      <c r="I5" s="10">
        <v>6527.9428634690812</v>
      </c>
      <c r="J5" s="10">
        <v>6580.614167400634</v>
      </c>
      <c r="K5" s="10">
        <v>6632.9477217901149</v>
      </c>
      <c r="L5" s="10">
        <v>6685.7538833070303</v>
      </c>
      <c r="M5" s="10">
        <v>6738.7175553201514</v>
      </c>
      <c r="N5" s="10">
        <v>6826.7998669037488</v>
      </c>
      <c r="O5" s="10">
        <v>6914.7347662496386</v>
      </c>
      <c r="P5" s="10">
        <v>7002.1453660297175</v>
      </c>
      <c r="Q5" s="10">
        <v>7088.7220788927216</v>
      </c>
      <c r="R5" s="10">
        <v>7174.1976570702309</v>
      </c>
      <c r="S5" s="10">
        <v>7258.3269913848371</v>
      </c>
      <c r="T5" s="10">
        <v>7341.0049524254027</v>
      </c>
      <c r="U5" s="10">
        <v>7422.2758702063056</v>
      </c>
      <c r="V5" s="10">
        <v>7502.208365959782</v>
      </c>
      <c r="W5" s="10">
        <v>7582.0258230833178</v>
      </c>
      <c r="X5" s="10">
        <v>7688.5471303738395</v>
      </c>
      <c r="Y5" s="10">
        <v>7792.9762611583783</v>
      </c>
      <c r="Z5" s="10">
        <v>7895.2757805860192</v>
      </c>
      <c r="AA5" s="10">
        <v>7995.3861604411786</v>
      </c>
      <c r="AB5" s="10">
        <v>8093.2379360494242</v>
      </c>
      <c r="AC5" s="10">
        <v>8188.7385124415541</v>
      </c>
      <c r="AD5" s="10">
        <v>8281.7686313319246</v>
      </c>
      <c r="AE5" s="10">
        <v>8372.195975119148</v>
      </c>
      <c r="AF5" s="10">
        <v>8459.8550925622585</v>
      </c>
      <c r="AG5" s="10">
        <v>8544.5790682651514</v>
      </c>
      <c r="AH5" s="10">
        <v>8626.2050799930348</v>
      </c>
      <c r="AI5" s="10">
        <v>8704.5634666577807</v>
      </c>
      <c r="AJ5" s="10">
        <v>8779.5143163423818</v>
      </c>
      <c r="AK5" s="10">
        <v>8851.0313515938687</v>
      </c>
      <c r="AL5" s="10">
        <v>8897.3003733350215</v>
      </c>
      <c r="AN5" s="10">
        <v>6114.4397420646383</v>
      </c>
      <c r="AO5" s="10">
        <v>6641.7097867101656</v>
      </c>
      <c r="AP5" s="10">
        <v>6389.1613764260592</v>
      </c>
      <c r="AR5" s="10">
        <v>6114.4397420646383</v>
      </c>
      <c r="AS5" s="10">
        <v>6641.7097867101656</v>
      </c>
      <c r="AT5" s="10">
        <v>6389.1613764260592</v>
      </c>
    </row>
    <row r="6" spans="1:46" ht="18" customHeight="1">
      <c r="B6" s="30" t="s">
        <v>249</v>
      </c>
      <c r="C6" s="63">
        <f t="shared" si="0"/>
        <v>75196.794407486363</v>
      </c>
      <c r="D6" s="10">
        <v>1217.2771515445299</v>
      </c>
      <c r="E6" s="10">
        <v>1780.068510888907</v>
      </c>
      <c r="F6" s="10">
        <v>1847.1021550044704</v>
      </c>
      <c r="G6" s="10">
        <v>1858.96028928377</v>
      </c>
      <c r="H6" s="10">
        <v>1870.5676093788829</v>
      </c>
      <c r="I6" s="10">
        <v>1887.22378735793</v>
      </c>
      <c r="J6" s="10">
        <v>1902.4510250604919</v>
      </c>
      <c r="K6" s="10">
        <v>1917.5806196029805</v>
      </c>
      <c r="L6" s="10">
        <v>1932.8468445406213</v>
      </c>
      <c r="M6" s="10">
        <v>1948.1586056542699</v>
      </c>
      <c r="N6" s="10">
        <v>1973.623141288655</v>
      </c>
      <c r="O6" s="10">
        <v>1999.0450601466116</v>
      </c>
      <c r="P6" s="10">
        <v>2024.3154043610712</v>
      </c>
      <c r="Q6" s="10">
        <v>2049.3446724419332</v>
      </c>
      <c r="R6" s="10">
        <v>2074.0556032433469</v>
      </c>
      <c r="S6" s="10">
        <v>2098.3773358708809</v>
      </c>
      <c r="T6" s="10">
        <v>2122.2794774841564</v>
      </c>
      <c r="U6" s="10">
        <v>2145.7748438598082</v>
      </c>
      <c r="V6" s="10">
        <v>2168.8832733488316</v>
      </c>
      <c r="W6" s="10">
        <v>2191.9584452491426</v>
      </c>
      <c r="X6" s="10">
        <v>2222.7536818472013</v>
      </c>
      <c r="Y6" s="10">
        <v>2252.9440716578374</v>
      </c>
      <c r="Z6" s="10">
        <v>2282.5187922914265</v>
      </c>
      <c r="AA6" s="10">
        <v>2311.4606341818276</v>
      </c>
      <c r="AB6" s="10">
        <v>2339.7495151394892</v>
      </c>
      <c r="AC6" s="10">
        <v>2367.3586660225651</v>
      </c>
      <c r="AD6" s="10">
        <v>2394.2536093427866</v>
      </c>
      <c r="AE6" s="10">
        <v>2420.3960921726916</v>
      </c>
      <c r="AF6" s="10">
        <v>2445.7382826724306</v>
      </c>
      <c r="AG6" s="10">
        <v>2470.2319257159088</v>
      </c>
      <c r="AH6" s="10">
        <v>2493.8299495071515</v>
      </c>
      <c r="AI6" s="10">
        <v>2516.4833051423925</v>
      </c>
      <c r="AJ6" s="10">
        <v>2538.1515441827542</v>
      </c>
      <c r="AK6" s="10">
        <v>2558.8270698346741</v>
      </c>
      <c r="AL6" s="10">
        <v>2572.2034121639444</v>
      </c>
      <c r="AN6" s="10">
        <v>1217.2771515445334</v>
      </c>
      <c r="AO6" s="10">
        <v>1780.068510888907</v>
      </c>
      <c r="AP6" s="10">
        <v>1847.1021550044704</v>
      </c>
      <c r="AR6" s="10">
        <v>1217.2771515445334</v>
      </c>
      <c r="AS6" s="10">
        <v>1780.068510888907</v>
      </c>
      <c r="AT6" s="10">
        <v>1847.1021550044704</v>
      </c>
    </row>
    <row r="7" spans="1:46" ht="18" customHeight="1">
      <c r="B7" s="30" t="s">
        <v>182</v>
      </c>
      <c r="C7" s="63">
        <f t="shared" si="0"/>
        <v>24215.761947534971</v>
      </c>
      <c r="D7" s="141">
        <v>124.12882276553538</v>
      </c>
      <c r="E7" s="141">
        <v>217.38819604159426</v>
      </c>
      <c r="F7" s="141">
        <v>393.58831509572565</v>
      </c>
      <c r="G7" s="140">
        <v>620.44281856583848</v>
      </c>
      <c r="H7" s="140">
        <v>624.31685419603605</v>
      </c>
      <c r="I7" s="140">
        <v>629.8759864009719</v>
      </c>
      <c r="J7" s="140">
        <v>634.95819839528485</v>
      </c>
      <c r="K7" s="140">
        <v>640.00782120638678</v>
      </c>
      <c r="L7" s="140">
        <v>645.10304550126352</v>
      </c>
      <c r="M7" s="140">
        <v>650.21346785795595</v>
      </c>
      <c r="N7" s="140">
        <v>658.71245966189349</v>
      </c>
      <c r="O7" s="140">
        <v>667.19722777690231</v>
      </c>
      <c r="P7" s="140">
        <v>675.63140664609659</v>
      </c>
      <c r="Q7" s="140">
        <v>683.98512443353422</v>
      </c>
      <c r="R7" s="140">
        <v>692.23259461576265</v>
      </c>
      <c r="S7" s="140">
        <v>700.35016680427123</v>
      </c>
      <c r="T7" s="140">
        <v>708.32769714625283</v>
      </c>
      <c r="U7" s="140">
        <v>716.16946300934364</v>
      </c>
      <c r="V7" s="140">
        <v>723.88208560136434</v>
      </c>
      <c r="W7" s="140">
        <v>731.58360820798032</v>
      </c>
      <c r="X7" s="140">
        <v>741.86176396173369</v>
      </c>
      <c r="Y7" s="140">
        <v>751.93804727757026</v>
      </c>
      <c r="Z7" s="140">
        <v>761.80884609666225</v>
      </c>
      <c r="AA7" s="140">
        <v>771.46841658909375</v>
      </c>
      <c r="AB7" s="140">
        <v>780.9100561639807</v>
      </c>
      <c r="AC7" s="140">
        <v>790.12483040679433</v>
      </c>
      <c r="AD7" s="140">
        <v>799.10123218092565</v>
      </c>
      <c r="AE7" s="140">
        <v>807.82649426683304</v>
      </c>
      <c r="AF7" s="140">
        <v>816.28465240659</v>
      </c>
      <c r="AG7" s="140">
        <v>824.4596010671105</v>
      </c>
      <c r="AH7" s="140">
        <v>832.33562966117131</v>
      </c>
      <c r="AI7" s="140">
        <v>839.89636772605945</v>
      </c>
      <c r="AJ7" s="140">
        <v>847.12831527279252</v>
      </c>
      <c r="AK7" s="140">
        <v>854.02893681094815</v>
      </c>
      <c r="AL7" s="140">
        <v>858.49339771671168</v>
      </c>
      <c r="AN7" s="141">
        <v>124.12882276553526</v>
      </c>
      <c r="AO7" s="141">
        <v>494.30123267203243</v>
      </c>
      <c r="AP7" s="140">
        <v>616.48507170185599</v>
      </c>
      <c r="AR7" s="262">
        <v>124.12882276553538</v>
      </c>
      <c r="AS7" s="262">
        <v>217.38819604159426</v>
      </c>
      <c r="AT7" s="262">
        <v>393.58831509572565</v>
      </c>
    </row>
    <row r="8" spans="1:46" ht="18" customHeight="1">
      <c r="B8" s="490" t="s">
        <v>181</v>
      </c>
      <c r="C8" s="63">
        <f t="shared" si="0"/>
        <v>182017.12053291316</v>
      </c>
      <c r="D8" s="141">
        <v>0</v>
      </c>
      <c r="E8" s="141">
        <v>1283.6970229393391</v>
      </c>
      <c r="F8" s="141">
        <v>3691.7436339244755</v>
      </c>
      <c r="G8" s="140">
        <v>3772.9413686429266</v>
      </c>
      <c r="H8" s="140">
        <v>3796.4995578190951</v>
      </c>
      <c r="I8" s="140">
        <v>3830.3048969126153</v>
      </c>
      <c r="J8" s="140">
        <v>3861.2100622296703</v>
      </c>
      <c r="K8" s="140">
        <v>3891.9170512219648</v>
      </c>
      <c r="L8" s="140">
        <v>4136.9439348162423</v>
      </c>
      <c r="M8" s="140">
        <v>4169.7162661829934</v>
      </c>
      <c r="N8" s="140">
        <v>4224.2189581801022</v>
      </c>
      <c r="O8" s="140">
        <v>4278.6304359067863</v>
      </c>
      <c r="P8" s="140">
        <v>4332.7174927907854</v>
      </c>
      <c r="Q8" s="140">
        <v>4386.2885654665533</v>
      </c>
      <c r="R8" s="140">
        <v>4871.0459061804113</v>
      </c>
      <c r="S8" s="140">
        <v>4928.1669765901433</v>
      </c>
      <c r="T8" s="140">
        <v>4984.3026119473743</v>
      </c>
      <c r="U8" s="140">
        <v>5039.4829108840859</v>
      </c>
      <c r="V8" s="140">
        <v>5093.7544649758584</v>
      </c>
      <c r="W8" s="140">
        <v>5147.9479115949616</v>
      </c>
      <c r="X8" s="140">
        <v>6283.4312129853242</v>
      </c>
      <c r="Y8" s="140">
        <v>6368.7754592765741</v>
      </c>
      <c r="Z8" s="140">
        <v>6452.3792900843055</v>
      </c>
      <c r="AA8" s="140">
        <v>6534.1940562370273</v>
      </c>
      <c r="AB8" s="140">
        <v>6614.1629880361097</v>
      </c>
      <c r="AC8" s="140">
        <v>6692.210412651586</v>
      </c>
      <c r="AD8" s="140">
        <v>6768.2388667758014</v>
      </c>
      <c r="AE8" s="140">
        <v>6842.1402144329322</v>
      </c>
      <c r="AF8" s="140">
        <v>6913.7792413264324</v>
      </c>
      <c r="AG8" s="140">
        <v>6983.0195365854233</v>
      </c>
      <c r="AH8" s="140">
        <v>7049.7280344570563</v>
      </c>
      <c r="AI8" s="140">
        <v>7113.7660801657639</v>
      </c>
      <c r="AJ8" s="140">
        <v>7175.0193313148011</v>
      </c>
      <c r="AK8" s="140">
        <v>7233.4663127716894</v>
      </c>
      <c r="AL8" s="140">
        <v>7271.2794666059317</v>
      </c>
      <c r="AN8" s="141">
        <v>0</v>
      </c>
      <c r="AO8" s="141">
        <v>1467.0823119306722</v>
      </c>
      <c r="AP8" s="140">
        <v>3691.7436339244755</v>
      </c>
      <c r="AR8" s="262">
        <v>0</v>
      </c>
      <c r="AS8" s="262">
        <v>1283.6970229393391</v>
      </c>
      <c r="AT8" s="262">
        <v>3691.7436339244755</v>
      </c>
    </row>
    <row r="9" spans="1:46" ht="18" customHeight="1">
      <c r="B9" s="489" t="s">
        <v>248</v>
      </c>
      <c r="C9" s="63">
        <f t="shared" si="0"/>
        <v>11608.366800756901</v>
      </c>
      <c r="D9" s="421">
        <f>IF('Painel de Controle'!$D$26="Pleito 2",'Exclusões de M&amp;E'!F50,IF('Painel de Controle'!$D$26="Pleito 3",'Exclusões de M&amp;E'!F51,IF('Painel de Controle'!$D$26="Pleito 6",'Exclusões de M&amp;E'!F52,'Exclusões de M&amp;E'!F53)))</f>
        <v>0</v>
      </c>
      <c r="E9" s="421">
        <f>IF('Painel de Controle'!$D$26="Pleito 2",'Exclusões de M&amp;E'!G50,IF('Painel de Controle'!$D$26="Pleito 3",'Exclusões de M&amp;E'!G51,IF('Painel de Controle'!$D$26="Pleito 6",'Exclusões de M&amp;E'!G52,'Exclusões de M&amp;E'!G53)))</f>
        <v>0</v>
      </c>
      <c r="F9" s="421">
        <f>IF('Painel de Controle'!$D$26="Pleito 2",'Exclusões de M&amp;E'!H50,IF('Painel de Controle'!$D$26="Pleito 3",'Exclusões de M&amp;E'!H51,IF('Painel de Controle'!$D$26="Pleito 6",'Exclusões de M&amp;E'!H52,'Exclusões de M&amp;E'!H53)))</f>
        <v>0</v>
      </c>
      <c r="G9" s="421">
        <f>IF('Painel de Controle'!$D$26="Pleito 2",'Exclusões de M&amp;E'!I50,IF('Painel de Controle'!$D$26="Pleito 3",'Exclusões de M&amp;E'!I51,IF('Painel de Controle'!$D$26="Pleito 6",'Exclusões de M&amp;E'!I52,'Exclusões de M&amp;E'!I53)))</f>
        <v>0</v>
      </c>
      <c r="H9" s="421">
        <f>IF('Painel de Controle'!$D$26="Pleito 2",'Exclusões de M&amp;E'!J50,IF('Painel de Controle'!$D$26="Pleito 3",'Exclusões de M&amp;E'!J51,IF('Painel de Controle'!$D$26="Pleito 6",'Exclusões de M&amp;E'!J52,'Exclusões de M&amp;E'!J53)))</f>
        <v>0</v>
      </c>
      <c r="I9" s="421">
        <f>IF('Painel de Controle'!$D$26="Pleito 2",'Exclusões de M&amp;E'!K50,IF('Painel de Controle'!$D$26="Pleito 3",'Exclusões de M&amp;E'!K51,IF('Painel de Controle'!$D$26="Pleito 6",'Exclusões de M&amp;E'!K52,'Exclusões de M&amp;E'!K53)))</f>
        <v>0</v>
      </c>
      <c r="J9" s="421">
        <f>IF('Painel de Controle'!$D$26="Pleito 2",'Exclusões de M&amp;E'!L50,IF('Painel de Controle'!$D$26="Pleito 3",'Exclusões de M&amp;E'!L51,IF('Painel de Controle'!$D$26="Pleito 6",'Exclusões de M&amp;E'!L52,'Exclusões de M&amp;E'!L53)))</f>
        <v>0</v>
      </c>
      <c r="K9" s="421">
        <f>IF('Painel de Controle'!$D$26="Pleito 2",'Exclusões de M&amp;E'!M50,IF('Painel de Controle'!$D$26="Pleito 3",'Exclusões de M&amp;E'!M51,IF('Painel de Controle'!$D$26="Pleito 6",'Exclusões de M&amp;E'!M52,'Exclusões de M&amp;E'!M53)))</f>
        <v>0</v>
      </c>
      <c r="L9" s="421">
        <f>IF('Painel de Controle'!$D$26="Pleito 2",'Exclusões de M&amp;E'!N50,IF('Painel de Controle'!$D$26="Pleito 3",'Exclusões de M&amp;E'!N51,IF('Painel de Controle'!$D$26="Pleito 6",'Exclusões de M&amp;E'!N52,'Exclusões de M&amp;E'!N53)))</f>
        <v>0</v>
      </c>
      <c r="M9" s="421">
        <f>IF('Painel de Controle'!$D$26="Pleito 2",'Exclusões de M&amp;E'!O50,IF('Painel de Controle'!$D$26="Pleito 3",'Exclusões de M&amp;E'!O51,IF('Painel de Controle'!$D$26="Pleito 6",'Exclusões de M&amp;E'!O52,'Exclusões de M&amp;E'!O53)))</f>
        <v>0</v>
      </c>
      <c r="N9" s="421">
        <f>IF('Painel de Controle'!$D$26="Pleito 2",'Exclusões de M&amp;E'!P50,IF('Painel de Controle'!$D$26="Pleito 3",'Exclusões de M&amp;E'!P51,IF('Painel de Controle'!$D$26="Pleito 6",'Exclusões de M&amp;E'!P52,'Exclusões de M&amp;E'!P53)))</f>
        <v>0</v>
      </c>
      <c r="O9" s="421">
        <f>IF('Painel de Controle'!$D$26="Pleito 2",'Exclusões de M&amp;E'!Q50,IF('Painel de Controle'!$D$26="Pleito 3",'Exclusões de M&amp;E'!Q51,IF('Painel de Controle'!$D$26="Pleito 6",'Exclusões de M&amp;E'!Q52,'Exclusões de M&amp;E'!Q53)))</f>
        <v>0</v>
      </c>
      <c r="P9" s="421">
        <f>IF('Painel de Controle'!$D$26="Pleito 2",'Exclusões de M&amp;E'!R50,IF('Painel de Controle'!$D$26="Pleito 3",'Exclusões de M&amp;E'!R51,IF('Painel de Controle'!$D$26="Pleito 6",'Exclusões de M&amp;E'!R52,'Exclusões de M&amp;E'!R53)))</f>
        <v>0</v>
      </c>
      <c r="Q9" s="421">
        <f>IF('Painel de Controle'!$D$26="Pleito 2",'Exclusões de M&amp;E'!S50,IF('Painel de Controle'!$D$26="Pleito 3",'Exclusões de M&amp;E'!S51,IF('Painel de Controle'!$D$26="Pleito 6",'Exclusões de M&amp;E'!S52,'Exclusões de M&amp;E'!S53)))</f>
        <v>0</v>
      </c>
      <c r="R9" s="421">
        <f>IF('Painel de Controle'!$D$26="Pleito 2",'Exclusões de M&amp;E'!T50,IF('Painel de Controle'!$D$26="Pleito 3",'Exclusões de M&amp;E'!T51,IF('Painel de Controle'!$D$26="Pleito 6",'Exclusões de M&amp;E'!T52,'Exclusões de M&amp;E'!T53)))</f>
        <v>0</v>
      </c>
      <c r="S9" s="421">
        <f>IF('Painel de Controle'!$D$26="Pleito 2",'Exclusões de M&amp;E'!U50,IF('Painel de Controle'!$D$26="Pleito 3",'Exclusões de M&amp;E'!U51,IF('Painel de Controle'!$D$26="Pleito 6",'Exclusões de M&amp;E'!U52,'Exclusões de M&amp;E'!U53)))</f>
        <v>519.21907095135202</v>
      </c>
      <c r="T9" s="421">
        <f>IF('Painel de Controle'!$D$26="Pleito 2",'Exclusões de M&amp;E'!V50,IF('Painel de Controle'!$D$26="Pleito 3",'Exclusões de M&amp;E'!V51,IF('Painel de Controle'!$D$26="Pleito 6",'Exclusões de M&amp;E'!V52,'Exclusões de M&amp;E'!V53)))</f>
        <v>525.13337794945039</v>
      </c>
      <c r="U9" s="421">
        <f>IF('Painel de Controle'!$D$26="Pleito 2",'Exclusões de M&amp;E'!W50,IF('Painel de Controle'!$D$26="Pleito 3",'Exclusões de M&amp;E'!W51,IF('Painel de Controle'!$D$26="Pleito 6",'Exclusões de M&amp;E'!W52,'Exclusões de M&amp;E'!W53)))</f>
        <v>530.94703314515186</v>
      </c>
      <c r="V9" s="421">
        <f>IF('Painel de Controle'!$D$26="Pleito 2",'Exclusões de M&amp;E'!X50,IF('Painel de Controle'!$D$26="Pleito 3",'Exclusões de M&amp;E'!X51,IF('Painel de Controle'!$D$26="Pleito 6",'Exclusões de M&amp;E'!X52,'Exclusões de M&amp;E'!X53)))</f>
        <v>536.66494530772093</v>
      </c>
      <c r="W9" s="421">
        <f>IF('Painel de Controle'!$D$26="Pleito 2",'Exclusões de M&amp;E'!Y50,IF('Painel de Controle'!$D$26="Pleito 3",'Exclusões de M&amp;E'!Y51,IF('Painel de Controle'!$D$26="Pleito 6",'Exclusões de M&amp;E'!Y52,'Exclusões de M&amp;E'!Y53)))</f>
        <v>542.37462826669639</v>
      </c>
      <c r="X9" s="421">
        <f>IF('Painel de Controle'!$D$26="Pleito 2",'Exclusões de M&amp;E'!Z50,IF('Painel de Controle'!$D$26="Pleito 3",'Exclusões de M&amp;E'!Z51,IF('Painel de Controle'!$D$26="Pleito 6",'Exclusões de M&amp;E'!Z52,'Exclusões de M&amp;E'!Z53)))</f>
        <v>549.99455146298601</v>
      </c>
      <c r="Y9" s="421">
        <f>IF('Painel de Controle'!$D$26="Pleito 2",'Exclusões de M&amp;E'!AA50,IF('Painel de Controle'!$D$26="Pleito 3",'Exclusões de M&amp;E'!AA51,IF('Painel de Controle'!$D$26="Pleito 6",'Exclusões de M&amp;E'!AA52,'Exclusões de M&amp;E'!AA53)))</f>
        <v>557.46481235513966</v>
      </c>
      <c r="Z9" s="421">
        <f>IF('Painel de Controle'!$D$26="Pleito 2",'Exclusões de M&amp;E'!AB50,IF('Painel de Controle'!$D$26="Pleito 3",'Exclusões de M&amp;E'!AB51,IF('Painel de Controle'!$D$26="Pleito 6",'Exclusões de M&amp;E'!AB52,'Exclusões de M&amp;E'!AB53)))</f>
        <v>564.78273306869175</v>
      </c>
      <c r="AA9" s="421">
        <f>IF('Painel de Controle'!$D$26="Pleito 2",'Exclusões de M&amp;E'!AC50,IF('Painel de Controle'!$D$26="Pleito 3",'Exclusões de M&amp;E'!AC51,IF('Painel de Controle'!$D$26="Pleito 6",'Exclusões de M&amp;E'!AC52,'Exclusões de M&amp;E'!AC53)))</f>
        <v>571.94405529662095</v>
      </c>
      <c r="AB9" s="421">
        <f>IF('Painel de Controle'!$D$26="Pleito 2",'Exclusões de M&amp;E'!AD50,IF('Painel de Controle'!$D$26="Pleito 3",'Exclusões de M&amp;E'!AD51,IF('Painel de Controle'!$D$26="Pleito 6",'Exclusões de M&amp;E'!AD52,'Exclusões de M&amp;E'!AD53)))</f>
        <v>578.94380993464677</v>
      </c>
      <c r="AC9" s="421">
        <f>IF('Painel de Controle'!$D$26="Pleito 2",'Exclusões de M&amp;E'!AE50,IF('Painel de Controle'!$D$26="Pleito 3",'Exclusões de M&amp;E'!AE51,IF('Painel de Controle'!$D$26="Pleito 6",'Exclusões de M&amp;E'!AE52,'Exclusões de M&amp;E'!AE53)))</f>
        <v>585.77537326990227</v>
      </c>
      <c r="AD9" s="421">
        <f>IF('Painel de Controle'!$D$26="Pleito 2",'Exclusões de M&amp;E'!AF50,IF('Painel de Controle'!$D$26="Pleito 3",'Exclusões de M&amp;E'!AF51,IF('Painel de Controle'!$D$26="Pleito 6",'Exclusões de M&amp;E'!AF52,'Exclusões de M&amp;E'!AF53)))</f>
        <v>592.43021424883375</v>
      </c>
      <c r="AE9" s="421">
        <f>IF('Painel de Controle'!$D$26="Pleito 2",'Exclusões de M&amp;E'!AG50,IF('Painel de Controle'!$D$26="Pleito 3",'Exclusões de M&amp;E'!AG51,IF('Painel de Controle'!$D$26="Pleito 6",'Exclusões de M&amp;E'!AG52,'Exclusões de M&amp;E'!AG53)))</f>
        <v>598.8988676293618</v>
      </c>
      <c r="AF9" s="421">
        <f>IF('Painel de Controle'!$D$26="Pleito 2",'Exclusões de M&amp;E'!AH50,IF('Painel de Controle'!$D$26="Pleito 3",'Exclusões de M&amp;E'!AH51,IF('Painel de Controle'!$D$26="Pleito 6",'Exclusões de M&amp;E'!AH52,'Exclusões de M&amp;E'!AH53)))</f>
        <v>605.1694979789246</v>
      </c>
      <c r="AG9" s="421">
        <f>IF('Painel de Controle'!$D$26="Pleito 2",'Exclusões de M&amp;E'!AI50,IF('Painel de Controle'!$D$26="Pleito 3",'Exclusões de M&amp;E'!AI51,IF('Painel de Controle'!$D$26="Pleito 6",'Exclusões de M&amp;E'!AI52,'Exclusões de M&amp;E'!AI53)))</f>
        <v>611.23016512770062</v>
      </c>
      <c r="AH9" s="421">
        <f>IF('Painel de Controle'!$D$26="Pleito 2",'Exclusões de M&amp;E'!AJ50,IF('Painel de Controle'!$D$26="Pleito 3",'Exclusões de M&amp;E'!AJ51,IF('Painel de Controle'!$D$26="Pleito 6",'Exclusões de M&amp;E'!AJ52,'Exclusões de M&amp;E'!AJ53)))</f>
        <v>617.06922170714654</v>
      </c>
      <c r="AI9" s="421">
        <f>IF('Painel de Controle'!$D$26="Pleito 2",'Exclusões de M&amp;E'!AK50,IF('Painel de Controle'!$D$26="Pleito 3",'Exclusões de M&amp;E'!AK51,IF('Painel de Controle'!$D$26="Pleito 6",'Exclusões de M&amp;E'!AK52,'Exclusões de M&amp;E'!AK53)))</f>
        <v>622.67453113638658</v>
      </c>
      <c r="AJ9" s="421">
        <f>IF('Painel de Controle'!$D$26="Pleito 2",'Exclusões de M&amp;E'!AL50,IF('Painel de Controle'!$D$26="Pleito 3",'Exclusões de M&amp;E'!AL51,IF('Painel de Controle'!$D$26="Pleito 6",'Exclusões de M&amp;E'!AL52,'Exclusões de M&amp;E'!AL53)))</f>
        <v>628.03608491957152</v>
      </c>
      <c r="AK9" s="421">
        <f>IF('Painel de Controle'!$D$26="Pleito 2",'Exclusões de M&amp;E'!AM50,IF('Painel de Controle'!$D$26="Pleito 3",'Exclusões de M&amp;E'!AM51,IF('Painel de Controle'!$D$26="Pleito 6",'Exclusões de M&amp;E'!AM52,'Exclusões de M&amp;E'!AM53)))</f>
        <v>633.15200331847348</v>
      </c>
      <c r="AL9" s="421">
        <f>IF('Painel de Controle'!$D$26="Pleito 2",'Exclusões de M&amp;E'!AN50,IF('Painel de Controle'!$D$26="Pleito 3",'Exclusões de M&amp;E'!AN51,IF('Painel de Controle'!$D$26="Pleito 6",'Exclusões de M&amp;E'!AN52,'Exclusões de M&amp;E'!AN53)))</f>
        <v>636.46182368214454</v>
      </c>
      <c r="AN9" s="299">
        <v>0</v>
      </c>
      <c r="AO9" s="140">
        <v>238.58101238714249</v>
      </c>
      <c r="AP9" s="140">
        <v>457.04394937892823</v>
      </c>
      <c r="AR9" s="263">
        <f>18.2450305706667*0</f>
        <v>0</v>
      </c>
      <c r="AS9" s="10">
        <v>238.58101238714249</v>
      </c>
      <c r="AT9" s="10">
        <v>457.04394937892823</v>
      </c>
    </row>
    <row r="10" spans="1:46" ht="18" customHeight="1">
      <c r="B10" s="489" t="s">
        <v>354</v>
      </c>
      <c r="C10" s="63">
        <f t="shared" si="0"/>
        <v>0</v>
      </c>
      <c r="D10" s="10">
        <v>0</v>
      </c>
      <c r="E10" s="10">
        <v>0</v>
      </c>
      <c r="F10" s="10">
        <v>0</v>
      </c>
      <c r="G10" s="140">
        <v>0</v>
      </c>
      <c r="H10" s="140"/>
      <c r="I10" s="140"/>
      <c r="J10" s="140"/>
      <c r="K10" s="140"/>
      <c r="L10" s="140"/>
      <c r="M10" s="140"/>
      <c r="N10" s="140"/>
      <c r="O10" s="140"/>
      <c r="P10" s="140"/>
      <c r="Q10" s="140"/>
      <c r="R10" s="140"/>
      <c r="S10" s="140"/>
      <c r="T10" s="140"/>
      <c r="U10" s="140"/>
      <c r="V10" s="140"/>
      <c r="W10" s="140"/>
      <c r="X10" s="140"/>
      <c r="Y10" s="140"/>
      <c r="Z10" s="140"/>
      <c r="AA10" s="140"/>
      <c r="AB10" s="140"/>
      <c r="AC10" s="140"/>
      <c r="AD10" s="140"/>
      <c r="AE10" s="140"/>
      <c r="AF10" s="140"/>
      <c r="AG10" s="140"/>
      <c r="AH10" s="140"/>
      <c r="AI10" s="140"/>
      <c r="AJ10" s="140"/>
      <c r="AK10" s="140"/>
      <c r="AL10" s="140"/>
      <c r="AN10" s="141">
        <v>0</v>
      </c>
      <c r="AO10" s="140">
        <v>0</v>
      </c>
      <c r="AP10" s="140">
        <v>0</v>
      </c>
      <c r="AR10" s="10">
        <v>0</v>
      </c>
      <c r="AS10" s="10">
        <v>0</v>
      </c>
      <c r="AT10" s="10">
        <v>0</v>
      </c>
    </row>
    <row r="11" spans="1:46" s="23" customFormat="1" ht="24.95" customHeight="1">
      <c r="B11" s="34" t="s">
        <v>6</v>
      </c>
      <c r="C11" s="35">
        <f t="shared" si="0"/>
        <v>175094.08766201604</v>
      </c>
      <c r="D11" s="36">
        <f>SUM(D12:D15)</f>
        <v>532.38852659932547</v>
      </c>
      <c r="E11" s="36">
        <f>SUM(E12:E15)</f>
        <v>2378.4067906892178</v>
      </c>
      <c r="F11" s="36">
        <f>SUM(F12:F15)</f>
        <v>3046.9095942757403</v>
      </c>
      <c r="G11" s="36">
        <f t="shared" ref="G11:AL11" si="2">SUM(G12:G15)</f>
        <v>3216.6593345233232</v>
      </c>
      <c r="H11" s="36">
        <f t="shared" si="2"/>
        <v>4358.5917987597431</v>
      </c>
      <c r="I11" s="36">
        <f t="shared" si="2"/>
        <v>4397.402200679544</v>
      </c>
      <c r="J11" s="36">
        <f t="shared" si="2"/>
        <v>4432.8830424493799</v>
      </c>
      <c r="K11" s="36">
        <f t="shared" si="2"/>
        <v>4468.1363668204503</v>
      </c>
      <c r="L11" s="36">
        <f t="shared" si="2"/>
        <v>4503.7080523759996</v>
      </c>
      <c r="M11" s="36">
        <f t="shared" si="2"/>
        <v>4539.3878566308413</v>
      </c>
      <c r="N11" s="36">
        <f t="shared" si="2"/>
        <v>4598.7133687048117</v>
      </c>
      <c r="O11" s="36">
        <f t="shared" si="2"/>
        <v>4887.5531848316696</v>
      </c>
      <c r="P11" s="36">
        <f t="shared" si="2"/>
        <v>4949.3377607822076</v>
      </c>
      <c r="Q11" s="36">
        <f t="shared" si="2"/>
        <v>5010.5329190912707</v>
      </c>
      <c r="R11" s="36">
        <f t="shared" si="2"/>
        <v>5070.9497605854531</v>
      </c>
      <c r="S11" s="36">
        <f t="shared" si="2"/>
        <v>5130.4150343475194</v>
      </c>
      <c r="T11" s="36">
        <f t="shared" si="2"/>
        <v>5188.854431585366</v>
      </c>
      <c r="U11" s="36">
        <f t="shared" si="2"/>
        <v>5246.2992861549201</v>
      </c>
      <c r="V11" s="36">
        <f t="shared" si="2"/>
        <v>5302.7981017130096</v>
      </c>
      <c r="W11" s="36">
        <f t="shared" si="2"/>
        <v>5359.2156043298</v>
      </c>
      <c r="X11" s="36">
        <f t="shared" si="2"/>
        <v>5434.5082326517668</v>
      </c>
      <c r="Y11" s="36">
        <f t="shared" si="2"/>
        <v>5508.3220444622248</v>
      </c>
      <c r="Z11" s="36">
        <f t="shared" si="2"/>
        <v>5580.6305796248107</v>
      </c>
      <c r="AA11" s="36">
        <f t="shared" si="2"/>
        <v>5651.3917617143979</v>
      </c>
      <c r="AB11" s="36">
        <f t="shared" si="2"/>
        <v>5720.5564909025434</v>
      </c>
      <c r="AC11" s="36">
        <f t="shared" si="2"/>
        <v>5788.059318137055</v>
      </c>
      <c r="AD11" s="36">
        <f t="shared" si="2"/>
        <v>5853.81594789055</v>
      </c>
      <c r="AE11" s="36">
        <f t="shared" si="2"/>
        <v>5917.7328538983302</v>
      </c>
      <c r="AF11" s="36">
        <f t="shared" si="2"/>
        <v>5979.6930899915205</v>
      </c>
      <c r="AG11" s="36">
        <f t="shared" si="2"/>
        <v>6039.5786750900879</v>
      </c>
      <c r="AH11" s="36">
        <f t="shared" si="2"/>
        <v>6097.2745212898553</v>
      </c>
      <c r="AI11" s="36">
        <f t="shared" si="2"/>
        <v>6152.6607067688492</v>
      </c>
      <c r="AJ11" s="36">
        <f t="shared" si="2"/>
        <v>6205.638337359951</v>
      </c>
      <c r="AK11" s="36">
        <f t="shared" si="2"/>
        <v>6256.1888393284753</v>
      </c>
      <c r="AL11" s="36">
        <f t="shared" si="2"/>
        <v>6288.8932469760093</v>
      </c>
      <c r="AN11" s="36">
        <f>SUM(AN12:AN15)</f>
        <v>532.38852659932536</v>
      </c>
      <c r="AO11" s="36">
        <f>SUM(AO12:AO15)</f>
        <v>2615.214189941034</v>
      </c>
      <c r="AP11" s="36">
        <f>SUM(AP12:AP15)</f>
        <v>3362.8894531129217</v>
      </c>
      <c r="AR11" s="36">
        <f>SUM(AR12:AR15)</f>
        <v>532.38852659932547</v>
      </c>
      <c r="AS11" s="36">
        <f>SUM(AS12:AS15)</f>
        <v>2378.4067906892178</v>
      </c>
      <c r="AT11" s="36">
        <f>SUM(AT12:AT15)</f>
        <v>3142.5221082330495</v>
      </c>
    </row>
    <row r="12" spans="1:46" ht="18" customHeight="1">
      <c r="A12" t="s">
        <v>291</v>
      </c>
      <c r="B12" s="30" t="s">
        <v>10</v>
      </c>
      <c r="C12" s="63">
        <f t="shared" si="0"/>
        <v>110234.70677356751</v>
      </c>
      <c r="D12" s="483">
        <v>417.41638399999999</v>
      </c>
      <c r="E12" s="483">
        <v>2192.5031800861652</v>
      </c>
      <c r="F12" s="483">
        <v>2753.4001968422481</v>
      </c>
      <c r="G12" s="483">
        <v>2771.076636215319</v>
      </c>
      <c r="H12" s="483">
        <v>2788.3791970661655</v>
      </c>
      <c r="I12" s="483">
        <v>2813.2078853993435</v>
      </c>
      <c r="J12" s="483">
        <v>2835.9065104721385</v>
      </c>
      <c r="K12" s="483">
        <v>2858.4595828501688</v>
      </c>
      <c r="L12" s="483">
        <v>2881.2163246115556</v>
      </c>
      <c r="M12" s="483">
        <v>2904.0409453019151</v>
      </c>
      <c r="N12" s="483">
        <v>2941.9998948046523</v>
      </c>
      <c r="O12" s="483">
        <v>2979.8953172088541</v>
      </c>
      <c r="P12" s="10">
        <v>3017.5647934453732</v>
      </c>
      <c r="Q12" s="10">
        <v>3054.8749072763521</v>
      </c>
      <c r="R12" s="10">
        <v>3091.710488648192</v>
      </c>
      <c r="S12" s="10">
        <v>3127.9659081022578</v>
      </c>
      <c r="T12" s="10">
        <v>3163.5958602652358</v>
      </c>
      <c r="U12" s="10">
        <v>3198.6194490950838</v>
      </c>
      <c r="V12" s="10">
        <v>3233.0662468162618</v>
      </c>
      <c r="W12" s="10">
        <v>3267.4634688000842</v>
      </c>
      <c r="X12" s="10">
        <v>3313.3686778223168</v>
      </c>
      <c r="Y12" s="10">
        <v>3358.3722662931182</v>
      </c>
      <c r="Z12" s="10">
        <v>3402.458101715622</v>
      </c>
      <c r="AA12" s="10">
        <v>3445.6005304882278</v>
      </c>
      <c r="AB12" s="10">
        <v>3487.7696169062351</v>
      </c>
      <c r="AC12" s="10">
        <v>3528.9254572966261</v>
      </c>
      <c r="AD12" s="10">
        <v>3569.0166574672949</v>
      </c>
      <c r="AE12" s="10">
        <v>3607.9861953322056</v>
      </c>
      <c r="AF12" s="10">
        <v>3645.7627699094928</v>
      </c>
      <c r="AG12" s="10">
        <v>3682.27444924167</v>
      </c>
      <c r="AH12" s="10">
        <v>3717.4510653134212</v>
      </c>
      <c r="AI12" s="10">
        <v>3751.2195029151085</v>
      </c>
      <c r="AJ12" s="10">
        <v>3783.5194672009557</v>
      </c>
      <c r="AK12" s="10">
        <v>3814.3396339392029</v>
      </c>
      <c r="AL12" s="10">
        <v>3834.2792044186458</v>
      </c>
      <c r="AN12" s="10">
        <v>417.41638399999994</v>
      </c>
      <c r="AO12" s="10">
        <v>2192.5031800861652</v>
      </c>
      <c r="AP12" s="10">
        <v>2753.4001968422481</v>
      </c>
      <c r="AR12" s="10">
        <v>417.41638399999994</v>
      </c>
      <c r="AS12" s="10">
        <v>2192.5031800861652</v>
      </c>
      <c r="AT12" s="10">
        <v>2753.4001968422481</v>
      </c>
    </row>
    <row r="13" spans="1:46" ht="18" customHeight="1">
      <c r="A13" t="s">
        <v>292</v>
      </c>
      <c r="B13" s="488" t="s">
        <v>11</v>
      </c>
      <c r="C13" s="63">
        <f t="shared" si="0"/>
        <v>7271.343544544281</v>
      </c>
      <c r="D13" s="483">
        <f>'Conserva de Rotina V CRA'!C28</f>
        <v>53.023939393939401</v>
      </c>
      <c r="E13" s="483">
        <f>'Conserva de Rotina V CRA'!D28</f>
        <v>67.388360357040781</v>
      </c>
      <c r="F13" s="483">
        <f>'Conserva de Rotina V CRA'!E28</f>
        <v>92.029582489912258</v>
      </c>
      <c r="G13" s="483">
        <f>'Conserva de Rotina V CRA'!F28</f>
        <v>139.71201620318175</v>
      </c>
      <c r="H13" s="483">
        <f>'Conserva de Rotina V CRA'!G28</f>
        <v>170.23981336613019</v>
      </c>
      <c r="I13" s="483">
        <f>'Conserva de Rotina V CRA'!H28</f>
        <v>171.75568727324202</v>
      </c>
      <c r="J13" s="483">
        <f>'Conserva de Rotina V CRA'!I28</f>
        <v>173.14151374193972</v>
      </c>
      <c r="K13" s="483">
        <f>'Conserva de Rotina V CRA'!J28</f>
        <v>174.51845373507567</v>
      </c>
      <c r="L13" s="483">
        <f>'Conserva de Rotina V CRA'!K28</f>
        <v>175.9078284206837</v>
      </c>
      <c r="M13" s="786">
        <f>'Conserva de Rotina V CRA'!L28</f>
        <v>177.3011260542512</v>
      </c>
      <c r="N13" s="786">
        <f>'Conserva de Rotina V CRA'!M28</f>
        <v>179.61459083656257</v>
      </c>
      <c r="O13" s="483">
        <v>206.82506241528307</v>
      </c>
      <c r="P13" s="140">
        <v>209.43958102899953</v>
      </c>
      <c r="Q13" s="140">
        <v>212.02915744037543</v>
      </c>
      <c r="R13" s="592">
        <v>214.58579806205699</v>
      </c>
      <c r="S13" s="592">
        <v>217.10217148906099</v>
      </c>
      <c r="T13" s="140">
        <v>219.57513321942963</v>
      </c>
      <c r="U13" s="140">
        <v>222.0060091981621</v>
      </c>
      <c r="V13" s="140">
        <v>224.39685193936367</v>
      </c>
      <c r="W13" s="140">
        <v>226.78425378621108</v>
      </c>
      <c r="X13" s="140">
        <v>229.97038843543191</v>
      </c>
      <c r="Y13" s="140">
        <v>233.09394446796512</v>
      </c>
      <c r="Z13" s="140">
        <v>236.15380217848013</v>
      </c>
      <c r="AA13" s="140">
        <v>239.14818103202956</v>
      </c>
      <c r="AB13" s="140">
        <v>242.07500328650025</v>
      </c>
      <c r="AC13" s="140">
        <v>244.93149935478121</v>
      </c>
      <c r="AD13" s="140">
        <v>247.71410212935416</v>
      </c>
      <c r="AE13" s="140">
        <v>250.41885388847106</v>
      </c>
      <c r="AF13" s="140">
        <v>253.04080585760977</v>
      </c>
      <c r="AG13" s="140">
        <v>255.5749654682358</v>
      </c>
      <c r="AH13" s="140">
        <v>258.01646258143404</v>
      </c>
      <c r="AI13" s="140">
        <v>260.36022250289915</v>
      </c>
      <c r="AJ13" s="140">
        <v>262.60206035903195</v>
      </c>
      <c r="AK13" s="140">
        <v>264.74119017089998</v>
      </c>
      <c r="AL13" s="140">
        <v>266.12513238025502</v>
      </c>
      <c r="AN13" s="141">
        <v>53.023939393939393</v>
      </c>
      <c r="AO13" s="141">
        <v>153.22887902275534</v>
      </c>
      <c r="AP13" s="140">
        <v>191.10475602195044</v>
      </c>
      <c r="AR13" s="262">
        <v>53.023939393939401</v>
      </c>
      <c r="AS13" s="262">
        <v>67.388360357040781</v>
      </c>
      <c r="AT13" s="262">
        <v>122.00879207312808</v>
      </c>
    </row>
    <row r="14" spans="1:46" ht="18" customHeight="1">
      <c r="A14" t="s">
        <v>293</v>
      </c>
      <c r="B14" s="30" t="s">
        <v>12</v>
      </c>
      <c r="C14" s="63">
        <f t="shared" si="0"/>
        <v>0</v>
      </c>
      <c r="D14" s="483">
        <v>0</v>
      </c>
      <c r="E14" s="483">
        <v>0</v>
      </c>
      <c r="F14" s="483">
        <v>0</v>
      </c>
      <c r="G14" s="483">
        <v>0</v>
      </c>
      <c r="H14" s="483">
        <v>0</v>
      </c>
      <c r="I14" s="483">
        <v>0</v>
      </c>
      <c r="J14" s="483">
        <v>0</v>
      </c>
      <c r="K14" s="483">
        <v>0</v>
      </c>
      <c r="L14" s="483">
        <v>0</v>
      </c>
      <c r="M14" s="483">
        <v>0</v>
      </c>
      <c r="N14" s="483">
        <v>0</v>
      </c>
      <c r="O14" s="483">
        <v>0</v>
      </c>
      <c r="P14" s="140">
        <v>0</v>
      </c>
      <c r="Q14" s="140">
        <v>0</v>
      </c>
      <c r="R14" s="140">
        <v>0</v>
      </c>
      <c r="S14" s="140">
        <v>0</v>
      </c>
      <c r="T14" s="140">
        <v>0</v>
      </c>
      <c r="U14" s="140">
        <v>0</v>
      </c>
      <c r="V14" s="140">
        <v>0</v>
      </c>
      <c r="W14" s="140">
        <v>0</v>
      </c>
      <c r="X14" s="140">
        <v>0</v>
      </c>
      <c r="Y14" s="140">
        <v>0</v>
      </c>
      <c r="Z14" s="140">
        <v>0</v>
      </c>
      <c r="AA14" s="140">
        <v>0</v>
      </c>
      <c r="AB14" s="140">
        <v>0</v>
      </c>
      <c r="AC14" s="140">
        <v>0</v>
      </c>
      <c r="AD14" s="140">
        <v>0</v>
      </c>
      <c r="AE14" s="140">
        <v>0</v>
      </c>
      <c r="AF14" s="140">
        <v>0</v>
      </c>
      <c r="AG14" s="140">
        <v>0</v>
      </c>
      <c r="AH14" s="140">
        <v>0</v>
      </c>
      <c r="AI14" s="140">
        <v>0</v>
      </c>
      <c r="AJ14" s="140">
        <v>0</v>
      </c>
      <c r="AK14" s="140">
        <v>0</v>
      </c>
      <c r="AL14" s="140">
        <v>0</v>
      </c>
      <c r="AN14" s="141">
        <v>0</v>
      </c>
      <c r="AO14" s="141">
        <v>0</v>
      </c>
      <c r="AP14" s="140">
        <v>0</v>
      </c>
      <c r="AR14" s="262">
        <v>0</v>
      </c>
      <c r="AS14" s="262">
        <v>0</v>
      </c>
      <c r="AT14" s="10">
        <v>0</v>
      </c>
    </row>
    <row r="15" spans="1:46" ht="18" customHeight="1">
      <c r="A15" t="s">
        <v>294</v>
      </c>
      <c r="B15" s="488" t="s">
        <v>355</v>
      </c>
      <c r="C15" s="63">
        <f t="shared" si="0"/>
        <v>57588.037343904238</v>
      </c>
      <c r="D15" s="483">
        <f>'Conserva de Rotina V CRA'!C29</f>
        <v>61.948203205386072</v>
      </c>
      <c r="E15" s="483">
        <f>'Conserva de Rotina V CRA'!D29</f>
        <v>118.51525024601173</v>
      </c>
      <c r="F15" s="483">
        <f>'Conserva de Rotina V CRA'!E29</f>
        <v>201.47981494358015</v>
      </c>
      <c r="G15" s="483">
        <f>'Conserva de Rotina V CRA'!F29</f>
        <v>305.87068210482289</v>
      </c>
      <c r="H15" s="483">
        <f>'Conserva de Rotina V CRA'!G29</f>
        <v>1399.972788327447</v>
      </c>
      <c r="I15" s="483">
        <f>'Conserva de Rotina V CRA'!H29</f>
        <v>1412.4386280069589</v>
      </c>
      <c r="J15" s="483">
        <f>'Conserva de Rotina V CRA'!I29</f>
        <v>1423.8350182353017</v>
      </c>
      <c r="K15" s="483">
        <f>'Conserva de Rotina V CRA'!J29</f>
        <v>1435.1583302352055</v>
      </c>
      <c r="L15" s="483">
        <f>'Conserva de Rotina V CRA'!K29</f>
        <v>1446.5838993437605</v>
      </c>
      <c r="M15" s="786">
        <f>'Conserva de Rotina V CRA'!L29</f>
        <v>1458.0457852746752</v>
      </c>
      <c r="N15" s="786">
        <f>'Conserva de Rotina V CRA'!M29</f>
        <v>1477.098883063597</v>
      </c>
      <c r="O15" s="483">
        <v>1700.8328052075331</v>
      </c>
      <c r="P15" s="140">
        <v>1722.3333863078346</v>
      </c>
      <c r="Q15" s="140">
        <v>1743.6288543745434</v>
      </c>
      <c r="R15" s="140">
        <v>1764.6534738752039</v>
      </c>
      <c r="S15" s="140">
        <v>1785.3469547562013</v>
      </c>
      <c r="T15" s="140">
        <v>1805.6834381007004</v>
      </c>
      <c r="U15" s="140">
        <v>1825.6738278616738</v>
      </c>
      <c r="V15" s="140">
        <v>1845.3350029573835</v>
      </c>
      <c r="W15" s="140">
        <v>1864.9678817435042</v>
      </c>
      <c r="X15" s="140">
        <v>1891.1691663940182</v>
      </c>
      <c r="Y15" s="140">
        <v>1916.8558337011411</v>
      </c>
      <c r="Z15" s="140">
        <v>1942.0186757307088</v>
      </c>
      <c r="AA15" s="140">
        <v>1966.6430501941404</v>
      </c>
      <c r="AB15" s="140">
        <v>1990.7118707098084</v>
      </c>
      <c r="AC15" s="140">
        <v>2014.2023614856478</v>
      </c>
      <c r="AD15" s="140">
        <v>2037.0851882939012</v>
      </c>
      <c r="AE15" s="140">
        <v>2059.3278046776536</v>
      </c>
      <c r="AF15" s="140">
        <v>2080.8895142244178</v>
      </c>
      <c r="AG15" s="140">
        <v>2101.7292603801825</v>
      </c>
      <c r="AH15" s="140">
        <v>2121.8069933950001</v>
      </c>
      <c r="AI15" s="140">
        <v>2141.0809813508422</v>
      </c>
      <c r="AJ15" s="140">
        <v>2159.5168097999631</v>
      </c>
      <c r="AK15" s="140">
        <v>2177.1080152183717</v>
      </c>
      <c r="AL15" s="140">
        <v>2188.4889101771087</v>
      </c>
      <c r="AN15" s="141">
        <v>61.948203205386058</v>
      </c>
      <c r="AO15" s="141">
        <v>269.48213083211346</v>
      </c>
      <c r="AP15" s="140">
        <v>418.38450024872344</v>
      </c>
      <c r="AR15" s="262">
        <v>61.948203205386072</v>
      </c>
      <c r="AS15" s="262">
        <v>118.51525024601173</v>
      </c>
      <c r="AT15" s="262">
        <v>267.11311931767335</v>
      </c>
    </row>
    <row r="16" spans="1:46" s="23" customFormat="1" ht="24.95" customHeight="1">
      <c r="B16" s="34" t="s">
        <v>7</v>
      </c>
      <c r="C16" s="35">
        <f t="shared" si="0"/>
        <v>21896.667300547972</v>
      </c>
      <c r="D16" s="36">
        <f t="shared" ref="D16:M16" si="3">SUM(D17:D23)</f>
        <v>118.76522981437165</v>
      </c>
      <c r="E16" s="36">
        <f t="shared" si="3"/>
        <v>197.05582360801702</v>
      </c>
      <c r="F16" s="36">
        <f t="shared" si="3"/>
        <v>303.8858281125481</v>
      </c>
      <c r="G16" s="36">
        <f t="shared" si="3"/>
        <v>687.68298373774769</v>
      </c>
      <c r="H16" s="36">
        <f t="shared" si="3"/>
        <v>571.60816320478921</v>
      </c>
      <c r="I16" s="36">
        <f t="shared" si="3"/>
        <v>695.89063470170402</v>
      </c>
      <c r="J16" s="36">
        <f t="shared" si="3"/>
        <v>640.86064606995956</v>
      </c>
      <c r="K16" s="36">
        <f t="shared" si="3"/>
        <v>543.2823971160982</v>
      </c>
      <c r="L16" s="36">
        <f t="shared" si="3"/>
        <v>723.73892834590288</v>
      </c>
      <c r="M16" s="36">
        <f t="shared" si="3"/>
        <v>636.03212685933693</v>
      </c>
      <c r="N16" s="36">
        <f>SUM(N17:N23)</f>
        <v>628.52976744456009</v>
      </c>
      <c r="O16" s="36">
        <f t="shared" ref="O16:AL16" si="4">SUM(O17:O23)</f>
        <v>637.88683734361905</v>
      </c>
      <c r="P16" s="36">
        <f t="shared" si="4"/>
        <v>643.852989950081</v>
      </c>
      <c r="Q16" s="36">
        <f t="shared" si="4"/>
        <v>543.42308677105757</v>
      </c>
      <c r="R16" s="36">
        <f t="shared" si="4"/>
        <v>566.04252592195132</v>
      </c>
      <c r="S16" s="36">
        <f t="shared" si="4"/>
        <v>574.35477704955088</v>
      </c>
      <c r="T16" s="36">
        <f t="shared" si="4"/>
        <v>596.7400435757861</v>
      </c>
      <c r="U16" s="36">
        <f t="shared" si="4"/>
        <v>603.3464430173226</v>
      </c>
      <c r="V16" s="36">
        <f t="shared" si="4"/>
        <v>609.84404400086248</v>
      </c>
      <c r="W16" s="36">
        <f t="shared" si="4"/>
        <v>616.33229365478348</v>
      </c>
      <c r="X16" s="36">
        <f t="shared" si="4"/>
        <v>647.42749585441584</v>
      </c>
      <c r="Y16" s="36">
        <f t="shared" si="4"/>
        <v>673.03947143242544</v>
      </c>
      <c r="Z16" s="36">
        <f t="shared" si="4"/>
        <v>681.87455730668125</v>
      </c>
      <c r="AA16" s="36">
        <f t="shared" si="4"/>
        <v>690.5205784011431</v>
      </c>
      <c r="AB16" s="36">
        <f t="shared" si="4"/>
        <v>698.97153540743443</v>
      </c>
      <c r="AC16" s="36">
        <f t="shared" si="4"/>
        <v>689.54698194831383</v>
      </c>
      <c r="AD16" s="36">
        <f t="shared" si="4"/>
        <v>715.25396656716441</v>
      </c>
      <c r="AE16" s="36">
        <f t="shared" si="4"/>
        <v>723.06371339892803</v>
      </c>
      <c r="AF16" s="36">
        <f t="shared" si="4"/>
        <v>730.63438269048004</v>
      </c>
      <c r="AG16" s="36">
        <f t="shared" si="4"/>
        <v>737.95155881341248</v>
      </c>
      <c r="AH16" s="36">
        <f t="shared" si="4"/>
        <v>726.38461584028551</v>
      </c>
      <c r="AI16" s="36">
        <f t="shared" si="4"/>
        <v>751.76859242459989</v>
      </c>
      <c r="AJ16" s="36">
        <f t="shared" si="4"/>
        <v>758.24171367694612</v>
      </c>
      <c r="AK16" s="36">
        <f t="shared" si="4"/>
        <v>764.41827395263738</v>
      </c>
      <c r="AL16" s="36">
        <f t="shared" si="4"/>
        <v>768.41429253305728</v>
      </c>
      <c r="AN16" s="36">
        <f>SUM(AN17:AN22)</f>
        <v>118.76522981437164</v>
      </c>
      <c r="AO16" s="36">
        <f>SUM(AO17:AO22)</f>
        <v>263.98479182679591</v>
      </c>
      <c r="AP16" s="36">
        <f>SUM(AP17:AP22)</f>
        <v>378.61028916540488</v>
      </c>
      <c r="AR16" s="36">
        <f>SUM(AR17:AR22)</f>
        <v>118.76522981437165</v>
      </c>
      <c r="AS16" s="36">
        <f>SUM(AS17:AS22)</f>
        <v>197.05582360801702</v>
      </c>
      <c r="AT16" s="36">
        <f>SUM(AT17:AT22)</f>
        <v>334.59729066982658</v>
      </c>
    </row>
    <row r="17" spans="2:46" ht="18" customHeight="1">
      <c r="B17" s="30" t="s">
        <v>20</v>
      </c>
      <c r="C17" s="63">
        <f t="shared" si="0"/>
        <v>8512.539142709149</v>
      </c>
      <c r="D17" s="10">
        <v>96.454143655155946</v>
      </c>
      <c r="E17" s="10">
        <v>104.51082462622544</v>
      </c>
      <c r="F17" s="10">
        <v>105.45848014270702</v>
      </c>
      <c r="G17" s="10">
        <v>106.13550865195047</v>
      </c>
      <c r="H17" s="10">
        <v>222.29311046565235</v>
      </c>
      <c r="I17" s="10">
        <v>218.54483752671374</v>
      </c>
      <c r="J17" s="10">
        <v>226.08204790292982</v>
      </c>
      <c r="K17" s="10">
        <v>227.8800073105829</v>
      </c>
      <c r="L17" s="10">
        <v>229.69420349864976</v>
      </c>
      <c r="M17" s="10">
        <v>231.51381108064473</v>
      </c>
      <c r="N17" s="10">
        <v>228.5500806217247</v>
      </c>
      <c r="O17" s="10">
        <v>237.56101739008548</v>
      </c>
      <c r="P17" s="10">
        <v>240.56407560076156</v>
      </c>
      <c r="Q17" s="10">
        <v>243.5384849867024</v>
      </c>
      <c r="R17" s="10">
        <v>246.4750640458104</v>
      </c>
      <c r="S17" s="10">
        <v>242.99690212131915</v>
      </c>
      <c r="T17" s="10">
        <v>252.20585664049958</v>
      </c>
      <c r="U17" s="10">
        <v>254.99798136616403</v>
      </c>
      <c r="V17" s="10">
        <v>257.74412357633349</v>
      </c>
      <c r="W17" s="10">
        <v>260.48631354612189</v>
      </c>
      <c r="X17" s="10">
        <v>257.39996788683453</v>
      </c>
      <c r="Y17" s="10">
        <v>267.7336776724506</v>
      </c>
      <c r="Z17" s="10">
        <v>271.24825613934502</v>
      </c>
      <c r="AA17" s="10">
        <v>274.68762503687373</v>
      </c>
      <c r="AB17" s="10">
        <v>278.04939785285831</v>
      </c>
      <c r="AC17" s="10">
        <v>274.14555629233092</v>
      </c>
      <c r="AD17" s="10">
        <v>284.52651451670721</v>
      </c>
      <c r="AE17" s="10">
        <v>287.63321528198139</v>
      </c>
      <c r="AF17" s="10">
        <v>290.64481150761611</v>
      </c>
      <c r="AG17" s="10">
        <v>293.55556868713234</v>
      </c>
      <c r="AH17" s="10">
        <v>288.79122062005155</v>
      </c>
      <c r="AI17" s="10">
        <v>299.05195542262925</v>
      </c>
      <c r="AJ17" s="10">
        <v>301.62694936053595</v>
      </c>
      <c r="AK17" s="10">
        <v>304.08397196941331</v>
      </c>
      <c r="AL17" s="10">
        <v>305.67357970565246</v>
      </c>
      <c r="AN17" s="10">
        <v>96.454143655155946</v>
      </c>
      <c r="AO17" s="10">
        <v>104.51082462622544</v>
      </c>
      <c r="AP17" s="10">
        <v>105.45848014270702</v>
      </c>
      <c r="AR17" s="10">
        <v>96.454143655155946</v>
      </c>
      <c r="AS17" s="10">
        <v>104.51082462622544</v>
      </c>
      <c r="AT17" s="10">
        <v>105.45848014270702</v>
      </c>
    </row>
    <row r="18" spans="2:46" ht="18" customHeight="1">
      <c r="B18" s="488" t="s">
        <v>185</v>
      </c>
      <c r="C18" s="63">
        <f t="shared" si="0"/>
        <v>3856.4605490927629</v>
      </c>
      <c r="D18" s="483">
        <f>'Conserva de Rotina V CRA'!C30</f>
        <v>19.74276778553687</v>
      </c>
      <c r="E18" s="483">
        <f>'Conserva de Rotina V CRA'!D30</f>
        <v>35.851855025109309</v>
      </c>
      <c r="F18" s="483">
        <f>'Conserva de Rotina V CRA'!E30</f>
        <v>48.961441292953857</v>
      </c>
      <c r="G18" s="483">
        <f>'Conserva de Rotina V CRA'!F30</f>
        <v>74.329378599561892</v>
      </c>
      <c r="H18" s="483">
        <f>'Conserva de Rotina V CRA'!G30</f>
        <v>90.570731740121275</v>
      </c>
      <c r="I18" s="483">
        <f>'Conserva de Rotina V CRA'!H30</f>
        <v>90.906799728582314</v>
      </c>
      <c r="J18" s="483">
        <f>'Conserva de Rotina V CRA'!I30</f>
        <v>92.114490048657714</v>
      </c>
      <c r="K18" s="483">
        <f>'Conserva de Rotina V CRA'!J30</f>
        <v>92.847047611278782</v>
      </c>
      <c r="L18" s="483">
        <f>'Conserva de Rotina V CRA'!K30</f>
        <v>93.586220660453151</v>
      </c>
      <c r="M18" s="786">
        <f>'Conserva de Rotina V CRA'!L30</f>
        <v>94.324269432413956</v>
      </c>
      <c r="N18" s="786">
        <f>'Conserva de Rotina V CRA'!M30</f>
        <v>95.071967175746522</v>
      </c>
      <c r="O18" s="483">
        <v>110.03476140367584</v>
      </c>
      <c r="P18" s="140">
        <v>111.42573369922926</v>
      </c>
      <c r="Q18" s="140">
        <v>112.80343628147335</v>
      </c>
      <c r="R18" s="140">
        <v>114.16361641397967</v>
      </c>
      <c r="S18" s="140">
        <v>114.9077735795659</v>
      </c>
      <c r="T18" s="140">
        <v>116.81803506708353</v>
      </c>
      <c r="U18" s="140">
        <v>118.11130608171851</v>
      </c>
      <c r="V18" s="140">
        <v>119.38327867299758</v>
      </c>
      <c r="W18" s="140">
        <v>120.65342064479152</v>
      </c>
      <c r="X18" s="140">
        <v>121.71865966653807</v>
      </c>
      <c r="Y18" s="140">
        <v>124.01029287579681</v>
      </c>
      <c r="Z18" s="140">
        <v>125.638193813787</v>
      </c>
      <c r="AA18" s="140">
        <v>127.2312587879</v>
      </c>
      <c r="AB18" s="140">
        <v>128.78838240087399</v>
      </c>
      <c r="AC18" s="140">
        <v>129.63727206100683</v>
      </c>
      <c r="AD18" s="140">
        <v>131.78848736136121</v>
      </c>
      <c r="AE18" s="140">
        <v>133.22746536042507</v>
      </c>
      <c r="AF18" s="140">
        <v>134.62239233864972</v>
      </c>
      <c r="AG18" s="140">
        <v>135.97061215716562</v>
      </c>
      <c r="AH18" s="140">
        <v>136.56287755556508</v>
      </c>
      <c r="AI18" s="140">
        <v>138.51645747163332</v>
      </c>
      <c r="AJ18" s="140">
        <v>139.70915670607133</v>
      </c>
      <c r="AK18" s="140">
        <v>140.84721335990071</v>
      </c>
      <c r="AL18" s="140">
        <v>141.58349623115686</v>
      </c>
      <c r="AN18" s="141">
        <v>19.742767785536859</v>
      </c>
      <c r="AO18" s="141">
        <v>81.520599808003112</v>
      </c>
      <c r="AP18" s="140">
        <v>101.67126742967274</v>
      </c>
      <c r="AR18" s="262">
        <v>19.74276778553687</v>
      </c>
      <c r="AS18" s="262">
        <v>35.851855025109309</v>
      </c>
      <c r="AT18" s="262">
        <v>64.910935687092561</v>
      </c>
    </row>
    <row r="19" spans="2:46" ht="18" customHeight="1">
      <c r="B19" s="30" t="s">
        <v>19</v>
      </c>
      <c r="C19" s="63">
        <f t="shared" si="0"/>
        <v>7033.1890237242787</v>
      </c>
      <c r="D19" s="141">
        <v>0</v>
      </c>
      <c r="E19" s="141">
        <v>52.100627407801078</v>
      </c>
      <c r="F19" s="141">
        <v>143.19409091623871</v>
      </c>
      <c r="G19" s="140">
        <v>146.03345748786134</v>
      </c>
      <c r="H19" s="140">
        <v>146.94528820066841</v>
      </c>
      <c r="I19" s="140">
        <v>141.06434060424598</v>
      </c>
      <c r="J19" s="140">
        <v>149.44993849112836</v>
      </c>
      <c r="K19" s="140">
        <v>150.6384668390256</v>
      </c>
      <c r="L19" s="140">
        <v>162.81790994698395</v>
      </c>
      <c r="M19" s="140">
        <v>164.10773223640817</v>
      </c>
      <c r="N19" s="140">
        <v>158.73425913227976</v>
      </c>
      <c r="O19" s="140">
        <v>168.39427267723889</v>
      </c>
      <c r="P19" s="140">
        <v>170.52297968796793</v>
      </c>
      <c r="Q19" s="140">
        <v>172.63137908233242</v>
      </c>
      <c r="R19" s="140">
        <v>190.77982399119057</v>
      </c>
      <c r="S19" s="140">
        <v>185.02324228081355</v>
      </c>
      <c r="T19" s="140">
        <v>195.21564636039221</v>
      </c>
      <c r="U19" s="140">
        <v>197.37684293330278</v>
      </c>
      <c r="V19" s="140">
        <v>199.50244752352427</v>
      </c>
      <c r="W19" s="140">
        <v>201.62499294941529</v>
      </c>
      <c r="X19" s="140">
        <v>235.01925660545641</v>
      </c>
      <c r="Y19" s="140">
        <v>246.7940028550376</v>
      </c>
      <c r="Z19" s="140">
        <v>250.03370320104401</v>
      </c>
      <c r="AA19" s="140">
        <v>253.20407618099713</v>
      </c>
      <c r="AB19" s="140">
        <v>256.30292193383184</v>
      </c>
      <c r="AC19" s="140">
        <v>250.30883014654938</v>
      </c>
      <c r="AD19" s="140">
        <v>262.27345788704866</v>
      </c>
      <c r="AE19" s="140">
        <v>265.13718098755766</v>
      </c>
      <c r="AF19" s="140">
        <v>267.91323775400156</v>
      </c>
      <c r="AG19" s="140">
        <v>270.59634218044846</v>
      </c>
      <c r="AH19" s="140">
        <v>263.68106624685544</v>
      </c>
      <c r="AI19" s="140">
        <v>275.66285191312448</v>
      </c>
      <c r="AJ19" s="140">
        <v>278.03645342186297</v>
      </c>
      <c r="AK19" s="140">
        <v>280.30131023786669</v>
      </c>
      <c r="AL19" s="140">
        <v>281.76659342377855</v>
      </c>
      <c r="AN19" s="141">
        <v>0</v>
      </c>
      <c r="AO19" s="141">
        <v>59.543574180343995</v>
      </c>
      <c r="AP19" s="140">
        <v>143.19409091623871</v>
      </c>
      <c r="AR19" s="262">
        <v>0</v>
      </c>
      <c r="AS19" s="262">
        <v>52.100627407801078</v>
      </c>
      <c r="AT19" s="262">
        <v>143.19409091623871</v>
      </c>
    </row>
    <row r="20" spans="2:46" ht="18" customHeight="1">
      <c r="B20" s="30" t="s">
        <v>9</v>
      </c>
      <c r="C20" s="63">
        <f t="shared" si="0"/>
        <v>387.65326793896025</v>
      </c>
      <c r="D20" s="421">
        <f>IF('Painel de Controle'!$D$26="pleito 2",'Exclusões de M&amp;E'!F55,IF('Painel de Controle'!$D$26="pleito 3",'Exclusões de M&amp;E'!F56,IF('Painel de Controle'!$D$26="pleito 6",'Exclusões de M&amp;E'!F57,'Exclusões de M&amp;E'!F58)))</f>
        <v>0</v>
      </c>
      <c r="E20" s="421">
        <f>IF('Painel de Controle'!$D$26="pleito 2",'Exclusões de M&amp;E'!G55,IF('Painel de Controle'!$D$26="pleito 3",'Exclusões de M&amp;E'!G56,IF('Painel de Controle'!$D$26="pleito 6",'Exclusões de M&amp;E'!G57,'Exclusões de M&amp;E'!G58)))</f>
        <v>0</v>
      </c>
      <c r="F20" s="421">
        <f>IF('Painel de Controle'!$D$26="pleito 2",'Exclusões de M&amp;E'!H55,IF('Painel de Controle'!$D$26="pleito 3",'Exclusões de M&amp;E'!H56,IF('Painel de Controle'!$D$26="pleito 6",'Exclusões de M&amp;E'!H57,'Exclusões de M&amp;E'!H58)))</f>
        <v>0</v>
      </c>
      <c r="G20" s="421">
        <f>IF('Painel de Controle'!$D$26="pleito 2",'Exclusões de M&amp;E'!I55,IF('Painel de Controle'!$D$26="pleito 3",'Exclusões de M&amp;E'!I56,IF('Painel de Controle'!$D$26="pleito 6",'Exclusões de M&amp;E'!I57,'Exclusões de M&amp;E'!I58)))</f>
        <v>0</v>
      </c>
      <c r="H20" s="421">
        <f>IF('Painel de Controle'!$D$26="pleito 2",'Exclusões de M&amp;E'!J55,IF('Painel de Controle'!$D$26="pleito 3",'Exclusões de M&amp;E'!J56,IF('Painel de Controle'!$D$26="pleito 6",'Exclusões de M&amp;E'!J57,'Exclusões de M&amp;E'!J58)))</f>
        <v>0</v>
      </c>
      <c r="I20" s="421">
        <f>IF('Painel de Controle'!$D$26="pleito 2",'Exclusões de M&amp;E'!K55,IF('Painel de Controle'!$D$26="pleito 3",'Exclusões de M&amp;E'!K56,IF('Painel de Controle'!$D$26="pleito 6",'Exclusões de M&amp;E'!K57,'Exclusões de M&amp;E'!K58)))</f>
        <v>0</v>
      </c>
      <c r="J20" s="421">
        <f>IF('Painel de Controle'!$D$26="pleito 2",'Exclusões de M&amp;E'!L55,IF('Painel de Controle'!$D$26="pleito 3",'Exclusões de M&amp;E'!L56,IF('Painel de Controle'!$D$26="pleito 6",'Exclusões de M&amp;E'!L57,'Exclusões de M&amp;E'!L58)))</f>
        <v>0</v>
      </c>
      <c r="K20" s="421">
        <f>IF('Painel de Controle'!$D$26="pleito 2",'Exclusões de M&amp;E'!M55,IF('Painel de Controle'!$D$26="pleito 3",'Exclusões de M&amp;E'!M56,IF('Painel de Controle'!$D$26="pleito 6",'Exclusões de M&amp;E'!M57,'Exclusões de M&amp;E'!M58)))</f>
        <v>0</v>
      </c>
      <c r="L20" s="421">
        <f>IF('Painel de Controle'!$D$26="pleito 2",'Exclusões de M&amp;E'!N55,IF('Painel de Controle'!$D$26="pleito 3",'Exclusões de M&amp;E'!N56,IF('Painel de Controle'!$D$26="pleito 6",'Exclusões de M&amp;E'!N57,'Exclusões de M&amp;E'!N58)))</f>
        <v>0</v>
      </c>
      <c r="M20" s="421">
        <f>IF('Painel de Controle'!$D$26="pleito 2",'Exclusões de M&amp;E'!O55,IF('Painel de Controle'!$D$26="pleito 3",'Exclusões de M&amp;E'!O56,IF('Painel de Controle'!$D$26="pleito 6",'Exclusões de M&amp;E'!O57,'Exclusões de M&amp;E'!O58)))</f>
        <v>0</v>
      </c>
      <c r="N20" s="421">
        <f>IF('Painel de Controle'!$D$26="pleito 2",'Exclusões de M&amp;E'!P55,IF('Painel de Controle'!$D$26="pleito 3",'Exclusões de M&amp;E'!P56,IF('Painel de Controle'!$D$26="pleito 6",'Exclusões de M&amp;E'!P57,'Exclusões de M&amp;E'!P58)))</f>
        <v>0</v>
      </c>
      <c r="O20" s="421">
        <f>IF('Painel de Controle'!$D$26="pleito 2",'Exclusões de M&amp;E'!Q55,IF('Painel de Controle'!$D$26="pleito 3",'Exclusões de M&amp;E'!Q56,IF('Painel de Controle'!$D$26="pleito 6",'Exclusões de M&amp;E'!Q57,'Exclusões de M&amp;E'!Q58)))</f>
        <v>0</v>
      </c>
      <c r="P20" s="421">
        <f>IF('Painel de Controle'!$D$26="pleito 2",'Exclusões de M&amp;E'!R55,IF('Painel de Controle'!$D$26="pleito 3",'Exclusões de M&amp;E'!R56,IF('Painel de Controle'!$D$26="pleito 6",'Exclusões de M&amp;E'!R57,'Exclusões de M&amp;E'!R58)))</f>
        <v>0</v>
      </c>
      <c r="Q20" s="421">
        <f>IF('Painel de Controle'!$D$26="pleito 2",'Exclusões de M&amp;E'!S55,IF('Painel de Controle'!$D$26="pleito 3",'Exclusões de M&amp;E'!S56,IF('Painel de Controle'!$D$26="pleito 6",'Exclusões de M&amp;E'!S57,'Exclusões de M&amp;E'!S58)))</f>
        <v>0</v>
      </c>
      <c r="R20" s="421">
        <f>IF('Painel de Controle'!$D$26="pleito 2",'Exclusões de M&amp;E'!T55,IF('Painel de Controle'!$D$26="pleito 3",'Exclusões de M&amp;E'!T56,IF('Painel de Controle'!$D$26="pleito 6",'Exclusões de M&amp;E'!T57,'Exclusões de M&amp;E'!T58)))</f>
        <v>0</v>
      </c>
      <c r="S20" s="421">
        <f>IF('Painel de Controle'!$D$26="pleito 2",'Exclusões de M&amp;E'!U55,IF('Painel de Controle'!$D$26="pleito 3",'Exclusões de M&amp;E'!U56,IF('Painel de Controle'!$D$26="pleito 6",'Exclusões de M&amp;E'!U57,'Exclusões de M&amp;E'!U58)))</f>
        <v>17.338956727090892</v>
      </c>
      <c r="T20" s="421">
        <f>IF('Painel de Controle'!$D$26="pleito 2",'Exclusões de M&amp;E'!V55,IF('Painel de Controle'!$D$26="pleito 3",'Exclusões de M&amp;E'!V56,IF('Painel de Controle'!$D$26="pleito 6",'Exclusões de M&amp;E'!V57,'Exclusões de M&amp;E'!V58)))</f>
        <v>17.536460861372525</v>
      </c>
      <c r="U20" s="421">
        <f>IF('Painel de Controle'!$D$26="pleito 2",'Exclusões de M&amp;E'!W55,IF('Painel de Controle'!$D$26="pleito 3",'Exclusões de M&amp;E'!W56,IF('Painel de Controle'!$D$26="pleito 6",'Exclusões de M&amp;E'!W57,'Exclusões de M&amp;E'!W58)))</f>
        <v>17.730603799303896</v>
      </c>
      <c r="V20" s="421">
        <f>IF('Painel de Controle'!$D$26="pleito 2",'Exclusões de M&amp;E'!X55,IF('Painel de Controle'!$D$26="pleito 3",'Exclusões de M&amp;E'!X56,IF('Painel de Controle'!$D$26="pleito 6",'Exclusões de M&amp;E'!X57,'Exclusões de M&amp;E'!X58)))</f>
        <v>17.921549465791909</v>
      </c>
      <c r="W20" s="421">
        <f>IF('Painel de Controle'!$D$26="pleito 2",'Exclusões de M&amp;E'!Y55,IF('Painel de Controle'!$D$26="pleito 3",'Exclusões de M&amp;E'!Y56,IF('Painel de Controle'!$D$26="pleito 6",'Exclusões de M&amp;E'!Y57,'Exclusões de M&amp;E'!Y58)))</f>
        <v>18.112220323797352</v>
      </c>
      <c r="X20" s="421">
        <f>IF('Painel de Controle'!$D$26="pleito 2",'Exclusões de M&amp;E'!Z55,IF('Painel de Controle'!$D$26="pleito 3",'Exclusões de M&amp;E'!Z56,IF('Painel de Controle'!$D$26="pleito 6",'Exclusões de M&amp;E'!Z57,'Exclusões de M&amp;E'!Z58)))</f>
        <v>18.366682314806539</v>
      </c>
      <c r="Y20" s="421">
        <f>IF('Painel de Controle'!$D$26="pleito 2",'Exclusões de M&amp;E'!AA55,IF('Painel de Controle'!$D$26="pleito 3",'Exclusões de M&amp;E'!AA56,IF('Painel de Controle'!$D$26="pleito 6",'Exclusões de M&amp;E'!AA57,'Exclusões de M&amp;E'!AA58)))</f>
        <v>18.616146438132755</v>
      </c>
      <c r="Z20" s="421">
        <f>IF('Painel de Controle'!$D$26="pleito 2",'Exclusões de M&amp;E'!AB55,IF('Painel de Controle'!$D$26="pleito 3",'Exclusões de M&amp;E'!AB56,IF('Painel de Controle'!$D$26="pleito 6",'Exclusões de M&amp;E'!AB57,'Exclusões de M&amp;E'!AB58)))</f>
        <v>18.860523268036317</v>
      </c>
      <c r="AA20" s="421">
        <f>IF('Painel de Controle'!$D$26="pleito 2",'Exclusões de M&amp;E'!AC55,IF('Painel de Controle'!$D$26="pleito 3",'Exclusões de M&amp;E'!AC56,IF('Painel de Controle'!$D$26="pleito 6",'Exclusões de M&amp;E'!AC57,'Exclusões de M&amp;E'!AC58)))</f>
        <v>19.099670601340748</v>
      </c>
      <c r="AB20" s="421">
        <f>IF('Painel de Controle'!$D$26="pleito 2",'Exclusões de M&amp;E'!AD55,IF('Painel de Controle'!$D$26="pleito 3",'Exclusões de M&amp;E'!AD56,IF('Painel de Controle'!$D$26="pleito 6",'Exclusões de M&amp;E'!AD57,'Exclusões de M&amp;E'!AD58)))</f>
        <v>19.333422498293608</v>
      </c>
      <c r="AC20" s="421">
        <f>IF('Painel de Controle'!$D$26="pleito 2",'Exclusões de M&amp;E'!AE55,IF('Painel de Controle'!$D$26="pleito 3",'Exclusões de M&amp;E'!AE56,IF('Painel de Controle'!$D$26="pleito 6",'Exclusões de M&amp;E'!AE57,'Exclusões de M&amp;E'!AE58)))</f>
        <v>19.561557764649173</v>
      </c>
      <c r="AD20" s="421">
        <f>IF('Painel de Controle'!$D$26="pleito 2",'Exclusões de M&amp;E'!AF55,IF('Painel de Controle'!$D$26="pleito 3",'Exclusões de M&amp;E'!AF56,IF('Painel de Controle'!$D$26="pleito 6",'Exclusões de M&amp;E'!AF57,'Exclusões de M&amp;E'!AF58)))</f>
        <v>19.783791511857153</v>
      </c>
      <c r="AE20" s="421">
        <f>IF('Painel de Controle'!$D$26="pleito 2",'Exclusões de M&amp;E'!AG55,IF('Painel de Controle'!$D$26="pleito 3",'Exclusões de M&amp;E'!AG56,IF('Painel de Controle'!$D$26="pleito 6",'Exclusões de M&amp;E'!AG57,'Exclusões de M&amp;E'!AG58)))</f>
        <v>19.999807654796626</v>
      </c>
      <c r="AF20" s="421">
        <f>IF('Painel de Controle'!$D$26="pleito 2",'Exclusões de M&amp;E'!AH55,IF('Painel de Controle'!$D$26="pleito 3",'Exclusões de M&amp;E'!AH56,IF('Painel de Controle'!$D$26="pleito 6",'Exclusões de M&amp;E'!AH57,'Exclusões de M&amp;E'!AH58)))</f>
        <v>20.209210957497806</v>
      </c>
      <c r="AG20" s="421">
        <f>IF('Painel de Controle'!$D$26="pleito 2",'Exclusões de M&amp;E'!AI55,IF('Painel de Controle'!$D$26="pleito 3",'Exclusões de M&amp;E'!AI56,IF('Painel de Controle'!$D$26="pleito 6",'Exclusões de M&amp;E'!AI57,'Exclusões de M&amp;E'!AI58)))</f>
        <v>20.411602686363587</v>
      </c>
      <c r="AH20" s="421">
        <f>IF('Painel de Controle'!$D$26="pleito 2",'Exclusões de M&amp;E'!AJ55,IF('Painel de Controle'!$D$26="pleito 3",'Exclusões de M&amp;E'!AJ56,IF('Painel de Controle'!$D$26="pleito 6",'Exclusões de M&amp;E'!AJ57,'Exclusões de M&amp;E'!AJ58)))</f>
        <v>20.606593885690188</v>
      </c>
      <c r="AI20" s="421">
        <f>IF('Painel de Controle'!$D$26="pleito 2",'Exclusões de M&amp;E'!AK55,IF('Painel de Controle'!$D$26="pleito 3",'Exclusões de M&amp;E'!AK56,IF('Painel de Controle'!$D$26="pleito 6",'Exclusões de M&amp;E'!AK57,'Exclusões de M&amp;E'!AK58)))</f>
        <v>20.793779262871087</v>
      </c>
      <c r="AJ20" s="421">
        <f>IF('Painel de Controle'!$D$26="pleito 2",'Exclusões de M&amp;E'!AL55,IF('Painel de Controle'!$D$26="pleito 3",'Exclusões de M&amp;E'!AL56,IF('Painel de Controle'!$D$26="pleito 6",'Exclusões de M&amp;E'!AL57,'Exclusões de M&amp;E'!AL58)))</f>
        <v>20.972824591206738</v>
      </c>
      <c r="AK20" s="421">
        <f>IF('Painel de Controle'!$D$26="pleito 2",'Exclusões de M&amp;E'!AM55,IF('Painel de Controle'!$D$26="pleito 3",'Exclusões de M&amp;E'!AM56,IF('Painel de Controle'!$D$26="pleito 6",'Exclusões de M&amp;E'!AM57,'Exclusões de M&amp;E'!AM58)))</f>
        <v>21.143667098157337</v>
      </c>
      <c r="AL20" s="421">
        <f>IF('Painel de Controle'!$D$26="pleito 2",'Exclusões de M&amp;E'!AN55,IF('Painel de Controle'!$D$26="pleito 3",'Exclusões de M&amp;E'!AN56,IF('Painel de Controle'!$D$26="pleito 6",'Exclusões de M&amp;E'!AN57,'Exclusões de M&amp;E'!AN58)))</f>
        <v>21.254196227904021</v>
      </c>
      <c r="AN20" s="141"/>
      <c r="AO20" s="141">
        <v>7.9672455830764175</v>
      </c>
      <c r="AP20" s="140">
        <v>15.262662147867168</v>
      </c>
      <c r="AR20" s="262">
        <v>0</v>
      </c>
      <c r="AS20" s="262">
        <v>0</v>
      </c>
      <c r="AT20" s="262">
        <v>12.718885123222641</v>
      </c>
    </row>
    <row r="21" spans="2:46" ht="18" customHeight="1">
      <c r="B21" s="488" t="s">
        <v>8</v>
      </c>
      <c r="C21" s="63">
        <f t="shared" si="0"/>
        <v>490.2583234957122</v>
      </c>
      <c r="D21" s="483">
        <f>'Conserva de Rotina V CRA'!C31</f>
        <v>2.5683183736788378</v>
      </c>
      <c r="E21" s="483">
        <f>'Conserva de Rotina V CRA'!D31</f>
        <v>4.592516548881183</v>
      </c>
      <c r="F21" s="483">
        <f>'Conserva de Rotina V CRA'!E31</f>
        <v>6.2718157606484883</v>
      </c>
      <c r="G21" s="483">
        <f>'Conserva de Rotina V CRA'!F31</f>
        <v>9.5213734700050523</v>
      </c>
      <c r="H21" s="483">
        <f>'Conserva de Rotina V CRA'!G31</f>
        <v>11.601842751775918</v>
      </c>
      <c r="I21" s="483">
        <f>'Conserva de Rotina V CRA'!H31</f>
        <v>11.14533922981833</v>
      </c>
      <c r="J21" s="483">
        <f>'Conserva de Rotina V CRA'!I31</f>
        <v>11.799593623368505</v>
      </c>
      <c r="K21" s="483">
        <f>'Conserva de Rotina V CRA'!J31</f>
        <v>11.893432079621023</v>
      </c>
      <c r="L21" s="483">
        <f>'Conserva de Rotina V CRA'!K31</f>
        <v>11.988117960126866</v>
      </c>
      <c r="M21" s="786">
        <f>'Conserva de Rotina V CRA'!L31</f>
        <v>12.08631410987007</v>
      </c>
      <c r="N21" s="786">
        <f>'Conserva de Rotina V CRA'!M31</f>
        <v>11.65528835194894</v>
      </c>
      <c r="O21" s="483">
        <v>14.095127360764325</v>
      </c>
      <c r="P21" s="140">
        <v>14.273306796162862</v>
      </c>
      <c r="Q21" s="140">
        <v>14.449786420549414</v>
      </c>
      <c r="R21" s="140">
        <v>14.624021470970646</v>
      </c>
      <c r="S21" s="140">
        <v>14.08790234076135</v>
      </c>
      <c r="T21" s="140">
        <v>14.964044646438154</v>
      </c>
      <c r="U21" s="140">
        <v>15.129708836833318</v>
      </c>
      <c r="V21" s="140">
        <v>15.292644762215177</v>
      </c>
      <c r="W21" s="140">
        <v>15.455346190657497</v>
      </c>
      <c r="X21" s="140">
        <v>14.922929380780314</v>
      </c>
      <c r="Y21" s="140">
        <v>15.885351591007753</v>
      </c>
      <c r="Z21" s="140">
        <v>16.093880884468948</v>
      </c>
      <c r="AA21" s="140">
        <v>16.297947794031447</v>
      </c>
      <c r="AB21" s="140">
        <v>16.497410721576713</v>
      </c>
      <c r="AC21" s="140">
        <v>15.893765683777454</v>
      </c>
      <c r="AD21" s="140">
        <v>16.881715290190208</v>
      </c>
      <c r="AE21" s="140">
        <v>17.06604411416733</v>
      </c>
      <c r="AF21" s="140">
        <v>17.244730132714793</v>
      </c>
      <c r="AG21" s="140">
        <v>17.417433102302482</v>
      </c>
      <c r="AH21" s="140">
        <v>16.742857532123278</v>
      </c>
      <c r="AI21" s="140">
        <v>17.74354835434163</v>
      </c>
      <c r="AJ21" s="140">
        <v>17.89632959726918</v>
      </c>
      <c r="AK21" s="140">
        <v>18.042111287299313</v>
      </c>
      <c r="AL21" s="140">
        <v>18.136426944565404</v>
      </c>
      <c r="AN21" s="141">
        <v>2.5683183736788373</v>
      </c>
      <c r="AO21" s="141">
        <v>10.442547629146963</v>
      </c>
      <c r="AP21" s="140">
        <v>13.023788528919312</v>
      </c>
      <c r="AR21" s="262">
        <v>2.5683183736788378</v>
      </c>
      <c r="AS21" s="262">
        <v>4.592516548881183</v>
      </c>
      <c r="AT21" s="262">
        <v>8.3148988005656506</v>
      </c>
    </row>
    <row r="22" spans="2:46" ht="18" customHeight="1">
      <c r="B22" s="32" t="s">
        <v>446</v>
      </c>
      <c r="C22" s="63">
        <f t="shared" si="0"/>
        <v>1616.5669935871119</v>
      </c>
      <c r="D22" s="461" cm="1">
        <f t="array" ref="D22">_xlfn.IFS('Painel de Controle'!$H$40="Pleito 2",'Exclusões de M&amp;E'!F33,'Painel de Controle'!$H$40="Pleito 3",'Exclusões de M&amp;E'!F34,'Painel de Controle'!$H$40="Pleito 6",'Exclusões de M&amp;E'!F35, 'Painel de Controle'!$H$40="Pleito 8",'Exclusões de M&amp;E'!F36)</f>
        <v>0</v>
      </c>
      <c r="E22" s="461" cm="1">
        <f t="array" ref="E22">_xlfn.IFS('Painel de Controle'!$H$40="Pleito 2",'Exclusões de M&amp;E'!G33,'Painel de Controle'!$H$40="Pleito 3",'Exclusões de M&amp;E'!G34,'Painel de Controle'!$H$40="Pleito 6",'Exclusões de M&amp;E'!G35, 'Painel de Controle'!$H$40="Pleito 8",'Exclusões de M&amp;E'!G36)</f>
        <v>0</v>
      </c>
      <c r="F22" s="461" cm="1">
        <f t="array" ref="F22">_xlfn.IFS('Painel de Controle'!$H$40="Pleito 2",'Exclusões de M&amp;E'!H33,'Painel de Controle'!$H$40="Pleito 3",'Exclusões de M&amp;E'!H34,'Painel de Controle'!$H$40="Pleito 6",'Exclusões de M&amp;E'!H35, 'Painel de Controle'!$H$40="Pleito 8",'Exclusões de M&amp;E'!H36)</f>
        <v>0</v>
      </c>
      <c r="G22" s="461" cm="1">
        <f t="array" ref="G22">_xlfn.IFS('Painel de Controle'!$H$40="Pleito 2",'Exclusões de M&amp;E'!I33,'Painel de Controle'!$H$40="Pleito 3",'Exclusões de M&amp;E'!I34,'Painel de Controle'!$H$40="Pleito 6",'Exclusões de M&amp;E'!I35, 'Painel de Controle'!$H$40="Pleito 8",'Exclusões de M&amp;E'!I36)</f>
        <v>351.66326552836887</v>
      </c>
      <c r="H22" s="461" cm="1">
        <f t="array" ref="H22">_xlfn.IFS('Painel de Controle'!$H$40="Pleito 2",'Exclusões de M&amp;E'!J33,'Painel de Controle'!$H$40="Pleito 3",'Exclusões de M&amp;E'!J34,'Painel de Controle'!$H$40="Pleito 6",'Exclusões de M&amp;E'!J35, 'Painel de Controle'!$H$40="Pleito 8",'Exclusões de M&amp;E'!J36)</f>
        <v>100.19719004657122</v>
      </c>
      <c r="I22" s="461" cm="1">
        <f t="array" ref="I22">_xlfn.IFS('Painel de Controle'!$H$40="Pleito 2",'Exclusões de M&amp;E'!K33,'Painel de Controle'!$H$40="Pleito 3",'Exclusões de M&amp;E'!K34,'Painel de Controle'!$H$40="Pleito 6",'Exclusões de M&amp;E'!K35, 'Painel de Controle'!$H$40="Pleito 8",'Exclusões de M&amp;E'!K36)</f>
        <v>234.22931761234358</v>
      </c>
      <c r="J22" s="461" cm="1">
        <f t="array" ref="J22">_xlfn.IFS('Painel de Controle'!$H$40="Pleito 2",'Exclusões de M&amp;E'!L33,'Painel de Controle'!$H$40="Pleito 3",'Exclusões de M&amp;E'!L34,'Painel de Controle'!$H$40="Pleito 6",'Exclusões de M&amp;E'!L35, 'Painel de Controle'!$H$40="Pleito 8",'Exclusões de M&amp;E'!L36)</f>
        <v>161.41457600387525</v>
      </c>
      <c r="K22" s="461" cm="1">
        <f t="array" ref="K22">_xlfn.IFS('Painel de Controle'!$H$40="Pleito 2",'Exclusões de M&amp;E'!M33,'Painel de Controle'!$H$40="Pleito 3",'Exclusões de M&amp;E'!M34,'Painel de Controle'!$H$40="Pleito 6",'Exclusões de M&amp;E'!M35, 'Painel de Controle'!$H$40="Pleito 8",'Exclusões de M&amp;E'!M36)</f>
        <v>60.023443275589834</v>
      </c>
      <c r="L22" s="461" cm="1">
        <f t="array" ref="L22">_xlfn.IFS('Painel de Controle'!$H$40="Pleito 2",'Exclusões de M&amp;E'!N33,'Painel de Controle'!$H$40="Pleito 3",'Exclusões de M&amp;E'!N34,'Painel de Controle'!$H$40="Pleito 6",'Exclusões de M&amp;E'!N35, 'Painel de Controle'!$H$40="Pleito 8",'Exclusões de M&amp;E'!N36)</f>
        <v>225.6524762796891</v>
      </c>
      <c r="M22" s="461" cm="1">
        <f t="array" ref="M22">_xlfn.IFS('Painel de Controle'!$H$40="Pleito 2",'Exclusões de M&amp;E'!O33,'Painel de Controle'!$H$40="Pleito 3",'Exclusões de M&amp;E'!O34,'Painel de Controle'!$H$40="Pleito 6",'Exclusões de M&amp;E'!O35, 'Painel de Controle'!$H$40="Pleito 8",'Exclusões de M&amp;E'!O36)</f>
        <v>134</v>
      </c>
      <c r="N22" s="461" cm="1">
        <f t="array" ref="N22">_xlfn.IFS('Painel de Controle'!$H$40="Pleito 2",'Exclusões de M&amp;E'!P33,'Painel de Controle'!$H$40="Pleito 3",'Exclusões de M&amp;E'!P34,'Painel de Controle'!$H$40="Pleito 6",'Exclusões de M&amp;E'!P35, 'Painel de Controle'!$H$40="Pleito 8",'Exclusões de M&amp;E'!P36)</f>
        <v>134.5181721628602</v>
      </c>
      <c r="O22" s="461" cm="1">
        <f t="array" ref="O22">_xlfn.IFS('Painel de Controle'!$H$40="Pleito 2",'Exclusões de M&amp;E'!Q33,'Painel de Controle'!$H$40="Pleito 3",'Exclusões de M&amp;E'!Q34,'Painel de Controle'!$H$40="Pleito 6",'Exclusões de M&amp;E'!Q35, 'Painel de Controle'!$H$40="Pleito 8",'Exclusões de M&amp;E'!Q36)</f>
        <v>107.80165851185451</v>
      </c>
      <c r="P22" s="461" cm="1">
        <f t="array" ref="P22">_xlfn.IFS('Painel de Controle'!$H$40="Pleito 2",'Exclusões de M&amp;E'!R33,'Painel de Controle'!$H$40="Pleito 3",'Exclusões de M&amp;E'!R34,'Painel de Controle'!$H$40="Pleito 6",'Exclusões de M&amp;E'!R35, 'Painel de Controle'!$H$40="Pleito 8",'Exclusões de M&amp;E'!R36)</f>
        <v>107.06689416595941</v>
      </c>
      <c r="Q22" s="461" cm="1">
        <f t="array" ref="Q22">_xlfn.IFS('Painel de Controle'!$H$40="Pleito 2",'Exclusões de M&amp;E'!S33,'Painel de Controle'!$H$40="Pleito 3",'Exclusões de M&amp;E'!S34,'Painel de Controle'!$H$40="Pleito 6",'Exclusões de M&amp;E'!S35, 'Painel de Controle'!$H$40="Pleito 8",'Exclusões de M&amp;E'!S36)</f>
        <v>0</v>
      </c>
      <c r="R22" s="461" cm="1">
        <f t="array" ref="R22">_xlfn.IFS('Painel de Controle'!$H$40="Pleito 2",'Exclusões de M&amp;E'!T33,'Painel de Controle'!$H$40="Pleito 3",'Exclusões de M&amp;E'!T34,'Painel de Controle'!$H$40="Pleito 6",'Exclusões de M&amp;E'!T35, 'Painel de Controle'!$H$40="Pleito 8",'Exclusões de M&amp;E'!T36)</f>
        <v>0</v>
      </c>
      <c r="S22" s="461" cm="1">
        <f t="array" ref="S22">_xlfn.IFS('Painel de Controle'!$H$40="Pleito 2",'Exclusões de M&amp;E'!U33,'Painel de Controle'!$H$40="Pleito 3",'Exclusões de M&amp;E'!U34,'Painel de Controle'!$H$40="Pleito 6",'Exclusões de M&amp;E'!U35, 'Painel de Controle'!$H$40="Pleito 8",'Exclusões de M&amp;E'!U36)</f>
        <v>0</v>
      </c>
      <c r="T22" s="461" cm="1">
        <f t="array" ref="T22">_xlfn.IFS('Painel de Controle'!$H$40="Pleito 2",'Exclusões de M&amp;E'!V33,'Painel de Controle'!$H$40="Pleito 3",'Exclusões de M&amp;E'!V34,'Painel de Controle'!$H$40="Pleito 6",'Exclusões de M&amp;E'!V35, 'Painel de Controle'!$H$40="Pleito 8",'Exclusões de M&amp;E'!V36)</f>
        <v>0</v>
      </c>
      <c r="U22" s="461" cm="1">
        <f t="array" ref="U22">_xlfn.IFS('Painel de Controle'!$H$40="Pleito 2",'Exclusões de M&amp;E'!W33,'Painel de Controle'!$H$40="Pleito 3",'Exclusões de M&amp;E'!W34,'Painel de Controle'!$H$40="Pleito 6",'Exclusões de M&amp;E'!W35, 'Painel de Controle'!$H$40="Pleito 8",'Exclusões de M&amp;E'!W36)</f>
        <v>0</v>
      </c>
      <c r="V22" s="461" cm="1">
        <f t="array" ref="V22">_xlfn.IFS('Painel de Controle'!$H$40="Pleito 2",'Exclusões de M&amp;E'!X33,'Painel de Controle'!$H$40="Pleito 3",'Exclusões de M&amp;E'!X34,'Painel de Controle'!$H$40="Pleito 6",'Exclusões de M&amp;E'!X35, 'Painel de Controle'!$H$40="Pleito 8",'Exclusões de M&amp;E'!X36)</f>
        <v>0</v>
      </c>
      <c r="W22" s="461" cm="1">
        <f t="array" ref="W22">_xlfn.IFS('Painel de Controle'!$H$40="Pleito 2",'Exclusões de M&amp;E'!Y33,'Painel de Controle'!$H$40="Pleito 3",'Exclusões de M&amp;E'!Y34,'Painel de Controle'!$H$40="Pleito 6",'Exclusões de M&amp;E'!Y35, 'Painel de Controle'!$H$40="Pleito 8",'Exclusões de M&amp;E'!Y36)</f>
        <v>0</v>
      </c>
      <c r="X22" s="461" cm="1">
        <f t="array" ref="X22">_xlfn.IFS('Painel de Controle'!$H$40="Pleito 2",'Exclusões de M&amp;E'!Z33,'Painel de Controle'!$H$40="Pleito 3",'Exclusões de M&amp;E'!Z34,'Painel de Controle'!$H$40="Pleito 6",'Exclusões de M&amp;E'!Z35, 'Painel de Controle'!$H$40="Pleito 8",'Exclusões de M&amp;E'!Z36)</f>
        <v>0</v>
      </c>
      <c r="Y22" s="461" cm="1">
        <f t="array" ref="Y22">_xlfn.IFS('Painel de Controle'!$H$40="Pleito 2",'Exclusões de M&amp;E'!AA33,'Painel de Controle'!$H$40="Pleito 3",'Exclusões de M&amp;E'!AA34,'Painel de Controle'!$H$40="Pleito 6",'Exclusões de M&amp;E'!AA35, 'Painel de Controle'!$H$40="Pleito 8",'Exclusões de M&amp;E'!AA36)</f>
        <v>0</v>
      </c>
      <c r="Z22" s="461" cm="1">
        <f t="array" ref="Z22">_xlfn.IFS('Painel de Controle'!$H$40="Pleito 2",'Exclusões de M&amp;E'!AB33,'Painel de Controle'!$H$40="Pleito 3",'Exclusões de M&amp;E'!AB34,'Painel de Controle'!$H$40="Pleito 6",'Exclusões de M&amp;E'!AB35, 'Painel de Controle'!$H$40="Pleito 8",'Exclusões de M&amp;E'!AB36)</f>
        <v>0</v>
      </c>
      <c r="AA22" s="461" cm="1">
        <f t="array" ref="AA22">_xlfn.IFS('Painel de Controle'!$H$40="Pleito 2",'Exclusões de M&amp;E'!AC33,'Painel de Controle'!$H$40="Pleito 3",'Exclusões de M&amp;E'!AC34,'Painel de Controle'!$H$40="Pleito 6",'Exclusões de M&amp;E'!AC35, 'Painel de Controle'!$H$40="Pleito 8",'Exclusões de M&amp;E'!AC36)</f>
        <v>0</v>
      </c>
      <c r="AB22" s="461" cm="1">
        <f t="array" ref="AB22">_xlfn.IFS('Painel de Controle'!$H$40="Pleito 2",'Exclusões de M&amp;E'!AD33,'Painel de Controle'!$H$40="Pleito 3",'Exclusões de M&amp;E'!AD34,'Painel de Controle'!$H$40="Pleito 6",'Exclusões de M&amp;E'!AD35, 'Painel de Controle'!$H$40="Pleito 8",'Exclusões de M&amp;E'!AD36)</f>
        <v>0</v>
      </c>
      <c r="AC22" s="461" cm="1">
        <f t="array" ref="AC22">_xlfn.IFS('Painel de Controle'!$H$40="Pleito 2",'Exclusões de M&amp;E'!AE33,'Painel de Controle'!$H$40="Pleito 3",'Exclusões de M&amp;E'!AE34,'Painel de Controle'!$H$40="Pleito 6",'Exclusões de M&amp;E'!AE35, 'Painel de Controle'!$H$40="Pleito 8",'Exclusões de M&amp;E'!AE36)</f>
        <v>0</v>
      </c>
      <c r="AD22" s="461" cm="1">
        <f t="array" ref="AD22">_xlfn.IFS('Painel de Controle'!$H$40="Pleito 2",'Exclusões de M&amp;E'!AF33,'Painel de Controle'!$H$40="Pleito 3",'Exclusões de M&amp;E'!AF34,'Painel de Controle'!$H$40="Pleito 6",'Exclusões de M&amp;E'!AF35, 'Painel de Controle'!$H$40="Pleito 8",'Exclusões de M&amp;E'!AF36)</f>
        <v>0</v>
      </c>
      <c r="AE22" s="461" cm="1">
        <f t="array" ref="AE22">_xlfn.IFS('Painel de Controle'!$H$40="Pleito 2",'Exclusões de M&amp;E'!AG33,'Painel de Controle'!$H$40="Pleito 3",'Exclusões de M&amp;E'!AG34,'Painel de Controle'!$H$40="Pleito 6",'Exclusões de M&amp;E'!AG35, 'Painel de Controle'!$H$40="Pleito 8",'Exclusões de M&amp;E'!AG36)</f>
        <v>0</v>
      </c>
      <c r="AF22" s="461" cm="1">
        <f t="array" ref="AF22">_xlfn.IFS('Painel de Controle'!$H$40="Pleito 2",'Exclusões de M&amp;E'!AH33,'Painel de Controle'!$H$40="Pleito 3",'Exclusões de M&amp;E'!AH34,'Painel de Controle'!$H$40="Pleito 6",'Exclusões de M&amp;E'!AH35, 'Painel de Controle'!$H$40="Pleito 8",'Exclusões de M&amp;E'!AH36)</f>
        <v>0</v>
      </c>
      <c r="AG22" s="461" cm="1">
        <f t="array" ref="AG22">_xlfn.IFS('Painel de Controle'!$H$40="Pleito 2",'Exclusões de M&amp;E'!AI33,'Painel de Controle'!$H$40="Pleito 3",'Exclusões de M&amp;E'!AI34,'Painel de Controle'!$H$40="Pleito 6",'Exclusões de M&amp;E'!AI35, 'Painel de Controle'!$H$40="Pleito 8",'Exclusões de M&amp;E'!AI36)</f>
        <v>0</v>
      </c>
      <c r="AH22" s="461" cm="1">
        <f t="array" ref="AH22">_xlfn.IFS('Painel de Controle'!$H$40="Pleito 2",'Exclusões de M&amp;E'!AJ33,'Painel de Controle'!$H$40="Pleito 3",'Exclusões de M&amp;E'!AJ34,'Painel de Controle'!$H$40="Pleito 6",'Exclusões de M&amp;E'!AJ35, 'Painel de Controle'!$H$40="Pleito 8",'Exclusões de M&amp;E'!AJ36)</f>
        <v>0</v>
      </c>
      <c r="AI22" s="461" cm="1">
        <f t="array" ref="AI22">_xlfn.IFS('Painel de Controle'!$H$40="Pleito 2",'Exclusões de M&amp;E'!AK33,'Painel de Controle'!$H$40="Pleito 3",'Exclusões de M&amp;E'!AK34,'Painel de Controle'!$H$40="Pleito 6",'Exclusões de M&amp;E'!AK35, 'Painel de Controle'!$H$40="Pleito 8",'Exclusões de M&amp;E'!AK36)</f>
        <v>0</v>
      </c>
      <c r="AJ22" s="461" cm="1">
        <f t="array" ref="AJ22">_xlfn.IFS('Painel de Controle'!$H$40="Pleito 2",'Exclusões de M&amp;E'!AL33,'Painel de Controle'!$H$40="Pleito 3",'Exclusões de M&amp;E'!AL34,'Painel de Controle'!$H$40="Pleito 6",'Exclusões de M&amp;E'!AL35, 'Painel de Controle'!$H$40="Pleito 8",'Exclusões de M&amp;E'!AL36)</f>
        <v>0</v>
      </c>
      <c r="AK22" s="461" cm="1">
        <f t="array" ref="AK22">_xlfn.IFS('Painel de Controle'!$H$40="Pleito 2",'Exclusões de M&amp;E'!AM33,'Painel de Controle'!$H$40="Pleito 3",'Exclusões de M&amp;E'!AM34,'Painel de Controle'!$H$40="Pleito 6",'Exclusões de M&amp;E'!AM35, 'Painel de Controle'!$H$40="Pleito 8",'Exclusões de M&amp;E'!AM36)</f>
        <v>0</v>
      </c>
      <c r="AL22" s="461" cm="1">
        <f t="array" ref="AL22">_xlfn.IFS('Painel de Controle'!$H$40="Pleito 2",'Exclusões de M&amp;E'!AN33,'Painel de Controle'!$H$40="Pleito 3",'Exclusões de M&amp;E'!AN34,'Painel de Controle'!$H$40="Pleito 6",'Exclusões de M&amp;E'!AN35, 'Painel de Controle'!$H$40="Pleito 8",'Exclusões de M&amp;E'!AN36)</f>
        <v>0</v>
      </c>
      <c r="AN22" s="10">
        <v>0</v>
      </c>
      <c r="AO22" s="10">
        <v>0</v>
      </c>
      <c r="AP22" s="10">
        <v>0</v>
      </c>
      <c r="AR22" s="10">
        <v>0</v>
      </c>
      <c r="AS22" s="10">
        <v>0</v>
      </c>
      <c r="AT22" s="10">
        <v>0</v>
      </c>
    </row>
    <row r="23" spans="2:46" ht="18" customHeight="1">
      <c r="B23" s="32" t="s">
        <v>680</v>
      </c>
      <c r="C23" s="63">
        <f t="shared" si="0"/>
        <v>0</v>
      </c>
      <c r="D23" s="461">
        <v>0</v>
      </c>
      <c r="E23" s="461">
        <v>0</v>
      </c>
      <c r="F23" s="461">
        <v>0</v>
      </c>
      <c r="G23" s="461">
        <v>0</v>
      </c>
      <c r="H23" s="461">
        <v>0</v>
      </c>
      <c r="I23" s="461">
        <v>0</v>
      </c>
      <c r="J23" s="461">
        <v>0</v>
      </c>
      <c r="K23" s="461">
        <v>0</v>
      </c>
      <c r="L23" s="461">
        <v>0</v>
      </c>
      <c r="M23" s="461">
        <v>0</v>
      </c>
      <c r="N23" s="461">
        <f>VLOOKUP(N3,QDB!$B:$O,14,FALSE)*'Painel de Controle'!$D$51*'Painel de Controle'!$D$53+VLOOKUP(N3,QDB!$B:$O,14,FALSE)*'Painel de Controle'!$D$52*'Painel de Controle'!$D$54</f>
        <v>0</v>
      </c>
      <c r="O23" s="461">
        <f>VLOOKUP(O3,QDB!$B:$O,14,FALSE)*'Painel de Controle'!$D$51*'Painel de Controle'!$D$53+VLOOKUP(O3,QDB!$B:$O,14,FALSE)*'Painel de Controle'!$D$52*'Painel de Controle'!$D$54</f>
        <v>0</v>
      </c>
      <c r="P23" s="461">
        <f>VLOOKUP(P3,QDB!$B:$O,14,FALSE)*'Painel de Controle'!$D$51*'Painel de Controle'!$D$53+VLOOKUP(P3,QDB!$B:$O,14,FALSE)*'Painel de Controle'!$D$52*'Painel de Controle'!$D$54</f>
        <v>0</v>
      </c>
      <c r="Q23" s="461">
        <f>VLOOKUP(Q3,QDB!$B:$O,14,FALSE)*'Painel de Controle'!$D$51*'Painel de Controle'!$D$53+VLOOKUP(Q3,QDB!$B:$O,14,FALSE)*'Painel de Controle'!$D$52*'Painel de Controle'!$D$54</f>
        <v>0</v>
      </c>
      <c r="R23" s="461">
        <f>VLOOKUP(R3,QDB!$B:$O,14,FALSE)*'Painel de Controle'!$D$51*'Painel de Controle'!$D$53+VLOOKUP(R3,QDB!$B:$O,14,FALSE)*'Painel de Controle'!$D$52*'Painel de Controle'!$D$54</f>
        <v>0</v>
      </c>
      <c r="S23" s="461">
        <f>VLOOKUP(S3,QDB!$B:$O,14,FALSE)*'Painel de Controle'!$D$51*'Painel de Controle'!$D$53+VLOOKUP(S3,QDB!$B:$O,14,FALSE)*'Painel de Controle'!$D$52*'Painel de Controle'!$D$54</f>
        <v>0</v>
      </c>
      <c r="T23" s="461">
        <f>VLOOKUP(T3,QDB!$B:$O,14,FALSE)*'Painel de Controle'!$D$51*'Painel de Controle'!$D$53+VLOOKUP(T3,QDB!$B:$O,14,FALSE)*'Painel de Controle'!$D$52*'Painel de Controle'!$D$54</f>
        <v>0</v>
      </c>
      <c r="U23" s="461">
        <f>VLOOKUP(U3,QDB!$B:$O,14,FALSE)*'Painel de Controle'!$D$51*'Painel de Controle'!$D$53+VLOOKUP(U3,QDB!$B:$O,14,FALSE)*'Painel de Controle'!$D$52*'Painel de Controle'!$D$54</f>
        <v>0</v>
      </c>
      <c r="V23" s="461">
        <f>VLOOKUP(V3,QDB!$B:$O,14,FALSE)*'Painel de Controle'!$D$51*'Painel de Controle'!$D$53+VLOOKUP(V3,QDB!$B:$O,14,FALSE)*'Painel de Controle'!$D$52*'Painel de Controle'!$D$54</f>
        <v>0</v>
      </c>
      <c r="W23" s="461">
        <f>VLOOKUP(W3,QDB!$B:$O,14,FALSE)*'Painel de Controle'!$D$51*'Painel de Controle'!$D$53+VLOOKUP(W3,QDB!$B:$O,14,FALSE)*'Painel de Controle'!$D$52*'Painel de Controle'!$D$54</f>
        <v>0</v>
      </c>
      <c r="X23" s="461">
        <f>VLOOKUP(X3,QDB!$B:$O,14,FALSE)*'Painel de Controle'!$D$51*'Painel de Controle'!$D$53+VLOOKUP(X3,QDB!$B:$O,14,FALSE)*'Painel de Controle'!$D$52*'Painel de Controle'!$D$54</f>
        <v>0</v>
      </c>
      <c r="Y23" s="461">
        <f>VLOOKUP(Y3,QDB!$B:$O,14,FALSE)*'Painel de Controle'!$D$51*'Painel de Controle'!$D$53+VLOOKUP(Y3,QDB!$B:$O,14,FALSE)*'Painel de Controle'!$D$52*'Painel de Controle'!$D$54</f>
        <v>0</v>
      </c>
      <c r="Z23" s="461">
        <f>VLOOKUP(Z3,QDB!$B:$O,14,FALSE)*'Painel de Controle'!$D$51*'Painel de Controle'!$D$53+VLOOKUP(Z3,QDB!$B:$O,14,FALSE)*'Painel de Controle'!$D$52*'Painel de Controle'!$D$54</f>
        <v>0</v>
      </c>
      <c r="AA23" s="461">
        <f>VLOOKUP(AA3,QDB!$B:$O,14,FALSE)*'Painel de Controle'!$D$51*'Painel de Controle'!$D$53+VLOOKUP(AA3,QDB!$B:$O,14,FALSE)*'Painel de Controle'!$D$52*'Painel de Controle'!$D$54</f>
        <v>0</v>
      </c>
      <c r="AB23" s="461">
        <f>VLOOKUP(AB3,QDB!$B:$O,14,FALSE)*'Painel de Controle'!$D$51*'Painel de Controle'!$D$53+VLOOKUP(AB3,QDB!$B:$O,14,FALSE)*'Painel de Controle'!$D$52*'Painel de Controle'!$D$54</f>
        <v>0</v>
      </c>
      <c r="AC23" s="461">
        <f>VLOOKUP(AC3,QDB!$B:$O,14,FALSE)*'Painel de Controle'!$D$51*'Painel de Controle'!$D$53+VLOOKUP(AC3,QDB!$B:$O,14,FALSE)*'Painel de Controle'!$D$52*'Painel de Controle'!$D$54</f>
        <v>0</v>
      </c>
      <c r="AD23" s="461">
        <f>VLOOKUP(AD3,QDB!$B:$O,14,FALSE)*'Painel de Controle'!$D$51*'Painel de Controle'!$D$53+VLOOKUP(AD3,QDB!$B:$O,14,FALSE)*'Painel de Controle'!$D$52*'Painel de Controle'!$D$54</f>
        <v>0</v>
      </c>
      <c r="AE23" s="461">
        <f>VLOOKUP(AE3,QDB!$B:$O,14,FALSE)*'Painel de Controle'!$D$51*'Painel de Controle'!$D$53+VLOOKUP(AE3,QDB!$B:$O,14,FALSE)*'Painel de Controle'!$D$52*'Painel de Controle'!$D$54</f>
        <v>0</v>
      </c>
      <c r="AF23" s="461">
        <f>VLOOKUP(AF3,QDB!$B:$O,14,FALSE)*'Painel de Controle'!$D$51*'Painel de Controle'!$D$53+VLOOKUP(AF3,QDB!$B:$O,14,FALSE)*'Painel de Controle'!$D$52*'Painel de Controle'!$D$54</f>
        <v>0</v>
      </c>
      <c r="AG23" s="461">
        <f>VLOOKUP(AG3,QDB!$B:$O,14,FALSE)*'Painel de Controle'!$D$51*'Painel de Controle'!$D$53+VLOOKUP(AG3,QDB!$B:$O,14,FALSE)*'Painel de Controle'!$D$52*'Painel de Controle'!$D$54</f>
        <v>0</v>
      </c>
      <c r="AH23" s="461">
        <f>VLOOKUP(AH3,QDB!$B:$O,14,FALSE)*'Painel de Controle'!$D$51*'Painel de Controle'!$D$53+VLOOKUP(AH3,QDB!$B:$O,14,FALSE)*'Painel de Controle'!$D$52*'Painel de Controle'!$D$54</f>
        <v>0</v>
      </c>
      <c r="AI23" s="461">
        <f>VLOOKUP(AI3,QDB!$B:$O,14,FALSE)*'Painel de Controle'!$D$51*'Painel de Controle'!$D$53+VLOOKUP(AI3,QDB!$B:$O,14,FALSE)*'Painel de Controle'!$D$52*'Painel de Controle'!$D$54</f>
        <v>0</v>
      </c>
      <c r="AJ23" s="461">
        <f>VLOOKUP(AJ3,QDB!$B:$O,14,FALSE)*'Painel de Controle'!$D$51*'Painel de Controle'!$D$53+VLOOKUP(AJ3,QDB!$B:$O,14,FALSE)*'Painel de Controle'!$D$52*'Painel de Controle'!$D$54</f>
        <v>0</v>
      </c>
      <c r="AK23" s="461">
        <f>VLOOKUP(AK3,QDB!$B:$O,14,FALSE)*'Painel de Controle'!$D$51*'Painel de Controle'!$D$53+VLOOKUP(AK3,QDB!$B:$O,14,FALSE)*'Painel de Controle'!$D$52*'Painel de Controle'!$D$54</f>
        <v>0</v>
      </c>
      <c r="AL23" s="461">
        <f>VLOOKUP(AL3,QDB!$B:$O,14,FALSE)*'Painel de Controle'!$D$51*'Painel de Controle'!$D$53+VLOOKUP(AL3,QDB!$B:$O,14,FALSE)*'Painel de Controle'!$D$52*'Painel de Controle'!$D$54</f>
        <v>0</v>
      </c>
      <c r="AN23" s="10"/>
      <c r="AO23" s="10"/>
      <c r="AP23" s="10"/>
      <c r="AR23" s="10"/>
      <c r="AS23" s="10"/>
      <c r="AT23" s="10"/>
    </row>
    <row r="24" spans="2:46" s="23" customFormat="1" ht="24.95" customHeight="1">
      <c r="B24" s="34" t="s">
        <v>13</v>
      </c>
      <c r="C24" s="35">
        <f t="shared" si="0"/>
        <v>70141.1622150115</v>
      </c>
      <c r="D24" s="36">
        <f>SUM(D25:D29)</f>
        <v>562.10918400000014</v>
      </c>
      <c r="E24" s="36">
        <f>SUM(E25:E29)</f>
        <v>1294.3371770228121</v>
      </c>
      <c r="F24" s="36">
        <f>SUM(F25:F29)</f>
        <v>1598.1340522373409</v>
      </c>
      <c r="G24" s="36">
        <f t="shared" ref="G24:AG24" si="5">SUM(G25:G29)</f>
        <v>1643.1975143773714</v>
      </c>
      <c r="H24" s="36">
        <f t="shared" si="5"/>
        <v>1661.3973569961843</v>
      </c>
      <c r="I24" s="36">
        <f t="shared" si="5"/>
        <v>1684.4760694446877</v>
      </c>
      <c r="J24" s="36">
        <f t="shared" si="5"/>
        <v>1706.6612181419064</v>
      </c>
      <c r="K24" s="36">
        <f t="shared" si="5"/>
        <v>1729.0999239654764</v>
      </c>
      <c r="L24" s="36">
        <f t="shared" si="5"/>
        <v>1751.9636027797314</v>
      </c>
      <c r="M24" s="36">
        <f t="shared" si="5"/>
        <v>1775.126297032225</v>
      </c>
      <c r="N24" s="36">
        <f t="shared" si="5"/>
        <v>1807.7967962140203</v>
      </c>
      <c r="O24" s="36">
        <f t="shared" si="5"/>
        <v>1840.6791721804709</v>
      </c>
      <c r="P24" s="36">
        <f t="shared" si="5"/>
        <v>1873.6127142145867</v>
      </c>
      <c r="Q24" s="36">
        <f t="shared" si="5"/>
        <v>1906.4481506855027</v>
      </c>
      <c r="R24" s="36">
        <f t="shared" si="5"/>
        <v>1939.042149555642</v>
      </c>
      <c r="S24" s="36">
        <f t="shared" si="5"/>
        <v>1971.2530383583849</v>
      </c>
      <c r="T24" s="36">
        <f t="shared" si="5"/>
        <v>2002.9741368200482</v>
      </c>
      <c r="U24" s="36">
        <f t="shared" si="5"/>
        <v>2034.1383319374229</v>
      </c>
      <c r="V24" s="36">
        <f t="shared" si="5"/>
        <v>2064.6856106342325</v>
      </c>
      <c r="W24" s="36">
        <f t="shared" si="5"/>
        <v>2094.87657996189</v>
      </c>
      <c r="X24" s="36">
        <f t="shared" si="5"/>
        <v>2132.0768613663517</v>
      </c>
      <c r="Y24" s="36">
        <f t="shared" si="5"/>
        <v>2168.2804947669665</v>
      </c>
      <c r="Z24" s="36">
        <f t="shared" si="5"/>
        <v>2203.3999793672383</v>
      </c>
      <c r="AA24" s="36">
        <f t="shared" si="5"/>
        <v>2237.3464964119662</v>
      </c>
      <c r="AB24" s="36">
        <f t="shared" si="5"/>
        <v>2270.0342245849902</v>
      </c>
      <c r="AC24" s="36">
        <f t="shared" si="5"/>
        <v>2301.3774947374854</v>
      </c>
      <c r="AD24" s="36">
        <f t="shared" si="5"/>
        <v>2331.290518612358</v>
      </c>
      <c r="AE24" s="36">
        <f t="shared" si="5"/>
        <v>2359.6918382708609</v>
      </c>
      <c r="AF24" s="36">
        <f t="shared" si="5"/>
        <v>2386.4991895008138</v>
      </c>
      <c r="AG24" s="36">
        <f t="shared" si="5"/>
        <v>2411.6388183547347</v>
      </c>
      <c r="AH24" s="36">
        <f>SUM(AH25:AH29)</f>
        <v>2435.9169870672567</v>
      </c>
      <c r="AI24" s="36">
        <f>SUM(AI25:AI29)</f>
        <v>2459.2839591489887</v>
      </c>
      <c r="AJ24" s="36">
        <f>SUM(AJ25:AJ29)</f>
        <v>2481.6983315384309</v>
      </c>
      <c r="AK24" s="36">
        <f>SUM(AK25:AK29)</f>
        <v>2503.1507817866095</v>
      </c>
      <c r="AL24" s="36">
        <f>SUM(AL25:AL29)</f>
        <v>2517.4671629365248</v>
      </c>
      <c r="AN24" s="36">
        <f>SUM(AN25:AN29)</f>
        <v>562.10918400000014</v>
      </c>
      <c r="AO24" s="36">
        <f>SUM(AO25:AO29)</f>
        <v>1369.4754256032011</v>
      </c>
      <c r="AP24" s="36">
        <f>SUM(AP25:AP29)</f>
        <v>1625.1736653646985</v>
      </c>
      <c r="AR24" s="36">
        <f>SUM(AR25:AR29)</f>
        <v>562.10918400000014</v>
      </c>
      <c r="AS24" s="36">
        <f>SUM(AS25:AS29)</f>
        <v>1294.3371770228121</v>
      </c>
      <c r="AT24" s="36">
        <f>SUM(AT25:AT29)</f>
        <v>1598.1340522373409</v>
      </c>
    </row>
    <row r="25" spans="2:46" ht="18" customHeight="1">
      <c r="B25" s="30" t="s">
        <v>21</v>
      </c>
      <c r="C25" s="63">
        <f t="shared" si="0"/>
        <v>13891.112063789764</v>
      </c>
      <c r="D25" s="141">
        <v>187.25952000000001</v>
      </c>
      <c r="E25" s="141">
        <v>329.73716639257685</v>
      </c>
      <c r="F25" s="141">
        <v>342.15437602716366</v>
      </c>
      <c r="G25" s="141">
        <v>344.35095867105662</v>
      </c>
      <c r="H25" s="141">
        <v>346.50108087936582</v>
      </c>
      <c r="I25" s="141">
        <v>349.5864457943369</v>
      </c>
      <c r="J25" s="141">
        <v>352.40711599962111</v>
      </c>
      <c r="K25" s="141">
        <v>355.20969893538552</v>
      </c>
      <c r="L25" s="141">
        <v>358.03759107642202</v>
      </c>
      <c r="M25" s="141">
        <v>360.87391826900483</v>
      </c>
      <c r="N25" s="141">
        <v>365.59092987401988</v>
      </c>
      <c r="O25" s="141">
        <v>370.30004721259849</v>
      </c>
      <c r="P25" s="141">
        <v>374.98108709621505</v>
      </c>
      <c r="Q25" s="141">
        <v>379.61747040583407</v>
      </c>
      <c r="R25" s="141">
        <v>384.19488540505353</v>
      </c>
      <c r="S25" s="141">
        <v>388.7002059302485</v>
      </c>
      <c r="T25" s="141">
        <v>393.12780205818615</v>
      </c>
      <c r="U25" s="141">
        <v>397.48004776371477</v>
      </c>
      <c r="V25" s="141">
        <v>401.76061787260801</v>
      </c>
      <c r="W25" s="141">
        <v>406.03502739667209</v>
      </c>
      <c r="X25" s="141">
        <v>411.73948988905227</v>
      </c>
      <c r="Y25" s="141">
        <v>417.33191148830605</v>
      </c>
      <c r="Z25" s="141">
        <v>422.81028747154386</v>
      </c>
      <c r="AA25" s="141">
        <v>428.17142996507476</v>
      </c>
      <c r="AB25" s="141">
        <v>433.41161897484392</v>
      </c>
      <c r="AC25" s="141">
        <v>438.52589582598864</v>
      </c>
      <c r="AD25" s="141">
        <v>443.5078739613528</v>
      </c>
      <c r="AE25" s="141">
        <v>448.35046746720315</v>
      </c>
      <c r="AF25" s="141">
        <v>453.04481604673725</v>
      </c>
      <c r="AG25" s="141">
        <v>457.58198099425641</v>
      </c>
      <c r="AH25" s="141">
        <v>461.95324280232217</v>
      </c>
      <c r="AI25" s="141">
        <v>466.14951572707469</v>
      </c>
      <c r="AJ25" s="141">
        <v>470.16330716160655</v>
      </c>
      <c r="AK25" s="141">
        <v>473.99320988750594</v>
      </c>
      <c r="AL25" s="141">
        <v>476.47102306681342</v>
      </c>
      <c r="AN25" s="141">
        <v>187.25952000000001</v>
      </c>
      <c r="AO25" s="141">
        <v>329.73716639257685</v>
      </c>
      <c r="AP25" s="141">
        <v>342.15437602716366</v>
      </c>
      <c r="AR25" s="141">
        <v>187.25952000000001</v>
      </c>
      <c r="AS25" s="141">
        <v>329.73716639257685</v>
      </c>
      <c r="AT25" s="141">
        <v>342.15437602716366</v>
      </c>
    </row>
    <row r="26" spans="2:46" ht="18" customHeight="1">
      <c r="B26" s="30" t="s">
        <v>22</v>
      </c>
      <c r="C26" s="63">
        <f t="shared" si="0"/>
        <v>36263.149667467391</v>
      </c>
      <c r="D26" s="141">
        <v>374.84966400000008</v>
      </c>
      <c r="E26" s="141">
        <v>863.53135455713698</v>
      </c>
      <c r="F26" s="141">
        <v>896.05013299174186</v>
      </c>
      <c r="G26" s="141">
        <v>901.80264796185975</v>
      </c>
      <c r="H26" s="141">
        <v>907.43349013630279</v>
      </c>
      <c r="I26" s="141">
        <v>915.51359033694553</v>
      </c>
      <c r="J26" s="141">
        <v>922.9004954583055</v>
      </c>
      <c r="K26" s="141">
        <v>930.24003277906354</v>
      </c>
      <c r="L26" s="141">
        <v>937.64585104882872</v>
      </c>
      <c r="M26" s="141">
        <v>945.07375943226612</v>
      </c>
      <c r="N26" s="141">
        <v>957.42689349144234</v>
      </c>
      <c r="O26" s="141">
        <v>969.75935367068041</v>
      </c>
      <c r="P26" s="141">
        <v>982.01828327712587</v>
      </c>
      <c r="Q26" s="141">
        <v>994.16026412630538</v>
      </c>
      <c r="R26" s="141">
        <v>1006.1478159630922</v>
      </c>
      <c r="S26" s="141">
        <v>1017.9465633666641</v>
      </c>
      <c r="T26" s="141">
        <v>1029.5417624266267</v>
      </c>
      <c r="U26" s="141">
        <v>1040.9396302210812</v>
      </c>
      <c r="V26" s="141">
        <v>1052.1497905583255</v>
      </c>
      <c r="W26" s="141">
        <v>1063.3438172633785</v>
      </c>
      <c r="X26" s="141">
        <v>1078.2829346123783</v>
      </c>
      <c r="Y26" s="141">
        <v>1092.9286339482812</v>
      </c>
      <c r="Z26" s="141">
        <v>1107.2756652075548</v>
      </c>
      <c r="AA26" s="141">
        <v>1121.315679835147</v>
      </c>
      <c r="AB26" s="141">
        <v>1135.0389357339193</v>
      </c>
      <c r="AC26" s="141">
        <v>1148.4324468905938</v>
      </c>
      <c r="AD26" s="141">
        <v>1161.479487885915</v>
      </c>
      <c r="AE26" s="141">
        <v>1174.161501792403</v>
      </c>
      <c r="AF26" s="141">
        <v>1186.4552848439084</v>
      </c>
      <c r="AG26" s="141">
        <v>1198.3374279333402</v>
      </c>
      <c r="AH26" s="141">
        <v>1209.7850960004234</v>
      </c>
      <c r="AI26" s="141">
        <v>1220.7744948675465</v>
      </c>
      <c r="AJ26" s="141">
        <v>1231.2860025398259</v>
      </c>
      <c r="AK26" s="141">
        <v>1241.315933726838</v>
      </c>
      <c r="AL26" s="141">
        <v>1247.8049485821409</v>
      </c>
      <c r="AN26" s="141">
        <v>374.84966400000008</v>
      </c>
      <c r="AO26" s="141">
        <v>863.53135455713698</v>
      </c>
      <c r="AP26" s="141">
        <v>896.05013299174186</v>
      </c>
      <c r="AR26" s="141">
        <v>374.84966400000008</v>
      </c>
      <c r="AS26" s="141">
        <v>863.53135455713698</v>
      </c>
      <c r="AT26" s="141">
        <v>896.05013299174186</v>
      </c>
    </row>
    <row r="27" spans="2:46" ht="18" customHeight="1">
      <c r="B27" s="30" t="s">
        <v>180</v>
      </c>
      <c r="C27" s="63">
        <f>SUM(D27:AL27)</f>
        <v>11101.537600588623</v>
      </c>
      <c r="D27" s="141">
        <v>0</v>
      </c>
      <c r="E27" s="141">
        <v>0</v>
      </c>
      <c r="F27" s="141">
        <v>135.19806563678819</v>
      </c>
      <c r="G27" s="141">
        <v>170.86968589946113</v>
      </c>
      <c r="H27" s="141">
        <v>179.8763356950584</v>
      </c>
      <c r="I27" s="141">
        <v>189.76307492283203</v>
      </c>
      <c r="J27" s="141">
        <v>199.88799514202964</v>
      </c>
      <c r="K27" s="141">
        <v>210.34380751332699</v>
      </c>
      <c r="L27" s="141">
        <v>221.1163793033696</v>
      </c>
      <c r="M27" s="141">
        <v>232.15190111404749</v>
      </c>
      <c r="N27" s="141">
        <v>244.65405960029352</v>
      </c>
      <c r="O27" s="141">
        <v>257.40184807520694</v>
      </c>
      <c r="P27" s="141">
        <v>270.32085228587096</v>
      </c>
      <c r="Q27" s="141">
        <v>283.33268728755633</v>
      </c>
      <c r="R27" s="141">
        <v>296.35521317021676</v>
      </c>
      <c r="S27" s="141">
        <v>309.30288048794648</v>
      </c>
      <c r="T27" s="141">
        <v>322.09308060804079</v>
      </c>
      <c r="U27" s="141">
        <v>334.64855021655296</v>
      </c>
      <c r="V27" s="141">
        <v>346.89356392941431</v>
      </c>
      <c r="W27" s="141">
        <v>358.80860884298505</v>
      </c>
      <c r="X27" s="141">
        <v>371.61854469286163</v>
      </c>
      <c r="Y27" s="141">
        <v>383.91088137184357</v>
      </c>
      <c r="Z27" s="141">
        <v>395.60668959811932</v>
      </c>
      <c r="AA27" s="141">
        <v>406.6307808824443</v>
      </c>
      <c r="AB27" s="141">
        <v>416.9132393406905</v>
      </c>
      <c r="AC27" s="141">
        <v>426.3895974347999</v>
      </c>
      <c r="AD27" s="141">
        <v>435.00137365851725</v>
      </c>
      <c r="AE27" s="141">
        <v>442.69740703529698</v>
      </c>
      <c r="AF27" s="141">
        <v>449.43331697495262</v>
      </c>
      <c r="AG27" s="141">
        <v>455.17356840182134</v>
      </c>
      <c r="AH27" s="141">
        <v>460.76170520499164</v>
      </c>
      <c r="AI27" s="141">
        <v>466.1868384521664</v>
      </c>
      <c r="AJ27" s="141">
        <v>471.43960092603191</v>
      </c>
      <c r="AK27" s="141">
        <v>476.51668696594146</v>
      </c>
      <c r="AL27" s="141">
        <v>480.23877991714539</v>
      </c>
      <c r="AN27" s="141">
        <v>0</v>
      </c>
      <c r="AO27" s="141">
        <v>60.699869141374933</v>
      </c>
      <c r="AP27" s="141">
        <v>162.23767876414581</v>
      </c>
      <c r="AR27" s="262">
        <v>0</v>
      </c>
      <c r="AS27" s="262">
        <v>0</v>
      </c>
      <c r="AT27" s="262">
        <v>135.19806563678819</v>
      </c>
    </row>
    <row r="28" spans="2:46" ht="18" customHeight="1">
      <c r="B28" s="30" t="s">
        <v>193</v>
      </c>
      <c r="C28" s="63">
        <f>SUM(D28:AL28)</f>
        <v>8885.3628831657388</v>
      </c>
      <c r="D28" s="141">
        <v>0</v>
      </c>
      <c r="E28" s="141">
        <v>101.06865607309834</v>
      </c>
      <c r="F28" s="141">
        <v>224.73147758164706</v>
      </c>
      <c r="G28" s="141">
        <v>226.17422184499404</v>
      </c>
      <c r="H28" s="141">
        <v>227.58645028545712</v>
      </c>
      <c r="I28" s="141">
        <v>229.61295839057328</v>
      </c>
      <c r="J28" s="141">
        <v>231.46561154194995</v>
      </c>
      <c r="K28" s="141">
        <v>233.30638473770017</v>
      </c>
      <c r="L28" s="141">
        <v>235.16378135111137</v>
      </c>
      <c r="M28" s="141">
        <v>237.02671821690652</v>
      </c>
      <c r="N28" s="141">
        <v>240.1249132482647</v>
      </c>
      <c r="O28" s="141">
        <v>243.21792322198513</v>
      </c>
      <c r="P28" s="141">
        <v>246.29249155537468</v>
      </c>
      <c r="Q28" s="141">
        <v>249.33772886580689</v>
      </c>
      <c r="R28" s="141">
        <v>252.3442350172796</v>
      </c>
      <c r="S28" s="141">
        <v>255.30338857352581</v>
      </c>
      <c r="T28" s="141">
        <v>258.2114917271947</v>
      </c>
      <c r="U28" s="141">
        <v>261.07010373607392</v>
      </c>
      <c r="V28" s="141">
        <v>263.88163827388456</v>
      </c>
      <c r="W28" s="141">
        <v>266.68912645885439</v>
      </c>
      <c r="X28" s="141">
        <v>270.43589217205954</v>
      </c>
      <c r="Y28" s="141">
        <v>274.10906795853566</v>
      </c>
      <c r="Z28" s="141">
        <v>277.70733709002002</v>
      </c>
      <c r="AA28" s="141">
        <v>281.22860572930028</v>
      </c>
      <c r="AB28" s="141">
        <v>284.67043053553641</v>
      </c>
      <c r="AC28" s="141">
        <v>288.02955458610273</v>
      </c>
      <c r="AD28" s="141">
        <v>291.30178310657311</v>
      </c>
      <c r="AE28" s="141">
        <v>294.48246197595768</v>
      </c>
      <c r="AF28" s="141">
        <v>297.56577163521581</v>
      </c>
      <c r="AG28" s="141">
        <v>300.54584102531675</v>
      </c>
      <c r="AH28" s="141">
        <v>303.4169430595191</v>
      </c>
      <c r="AI28" s="141">
        <v>306.17311010220112</v>
      </c>
      <c r="AJ28" s="141">
        <v>308.80942091096688</v>
      </c>
      <c r="AK28" s="141">
        <v>311.32495120632399</v>
      </c>
      <c r="AL28" s="141">
        <v>312.95241137042507</v>
      </c>
      <c r="AN28" s="141">
        <v>0</v>
      </c>
      <c r="AO28" s="141">
        <v>115.50703551211252</v>
      </c>
      <c r="AP28" s="141">
        <v>224.73147758164706</v>
      </c>
      <c r="AR28" s="262">
        <v>0</v>
      </c>
      <c r="AS28" s="262">
        <v>101.06865607309834</v>
      </c>
      <c r="AT28" s="262">
        <v>224.73147758164706</v>
      </c>
    </row>
    <row r="29" spans="2:46" ht="18" customHeight="1">
      <c r="B29" s="30" t="s">
        <v>356</v>
      </c>
      <c r="C29" s="63">
        <f>SUM(D29:AL29)</f>
        <v>0</v>
      </c>
      <c r="D29" s="140">
        <v>0</v>
      </c>
      <c r="E29" s="140">
        <v>0</v>
      </c>
      <c r="F29" s="14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  <c r="L29" s="10">
        <v>0</v>
      </c>
      <c r="M29" s="10">
        <v>0</v>
      </c>
      <c r="N29" s="10">
        <v>0</v>
      </c>
      <c r="O29" s="10">
        <v>0</v>
      </c>
      <c r="P29" s="10">
        <v>0</v>
      </c>
      <c r="Q29" s="10">
        <v>0</v>
      </c>
      <c r="R29" s="10">
        <v>0</v>
      </c>
      <c r="S29" s="10">
        <v>0</v>
      </c>
      <c r="T29" s="10">
        <v>0</v>
      </c>
      <c r="U29" s="10">
        <v>0</v>
      </c>
      <c r="V29" s="10">
        <v>0</v>
      </c>
      <c r="W29" s="10">
        <v>0</v>
      </c>
      <c r="X29" s="10">
        <v>0</v>
      </c>
      <c r="Y29" s="10">
        <v>0</v>
      </c>
      <c r="Z29" s="10">
        <v>0</v>
      </c>
      <c r="AA29" s="10">
        <v>0</v>
      </c>
      <c r="AB29" s="10">
        <v>0</v>
      </c>
      <c r="AC29" s="10">
        <v>0</v>
      </c>
      <c r="AD29" s="10">
        <v>0</v>
      </c>
      <c r="AE29" s="10">
        <v>0</v>
      </c>
      <c r="AF29" s="10">
        <v>0</v>
      </c>
      <c r="AG29" s="10">
        <v>0</v>
      </c>
      <c r="AH29" s="10">
        <v>0</v>
      </c>
      <c r="AI29" s="10">
        <v>0</v>
      </c>
      <c r="AJ29" s="10">
        <v>0</v>
      </c>
      <c r="AK29" s="10">
        <v>0</v>
      </c>
      <c r="AL29" s="10">
        <v>0</v>
      </c>
      <c r="AN29" s="10">
        <v>0</v>
      </c>
      <c r="AO29" s="10">
        <v>0</v>
      </c>
      <c r="AP29" s="10">
        <v>0</v>
      </c>
      <c r="AR29" s="10">
        <v>0</v>
      </c>
      <c r="AS29" s="10">
        <v>0</v>
      </c>
      <c r="AT29" s="10">
        <v>0</v>
      </c>
    </row>
    <row r="30" spans="2:46" s="23" customFormat="1" ht="24.95" customHeight="1">
      <c r="B30" s="34" t="s">
        <v>14</v>
      </c>
      <c r="C30" s="35">
        <f>SUM(D30:AL30)</f>
        <v>204993.83585308053</v>
      </c>
      <c r="D30" s="36">
        <f t="shared" ref="D30:AL30" si="6">SUM(D31:D35)</f>
        <v>3459.9572243151961</v>
      </c>
      <c r="E30" s="36">
        <f t="shared" si="6"/>
        <v>3316.729222738687</v>
      </c>
      <c r="F30" s="36">
        <f t="shared" si="6"/>
        <v>4242.2781619012985</v>
      </c>
      <c r="G30" s="36">
        <f t="shared" si="6"/>
        <v>4786.2298379275198</v>
      </c>
      <c r="H30" s="36">
        <f t="shared" si="6"/>
        <v>4930.9333308119467</v>
      </c>
      <c r="I30" s="36">
        <f t="shared" si="6"/>
        <v>4936.8541205315132</v>
      </c>
      <c r="J30" s="36">
        <f t="shared" si="6"/>
        <v>4965.7241270830964</v>
      </c>
      <c r="K30" s="36">
        <f t="shared" si="6"/>
        <v>5061.284991843605</v>
      </c>
      <c r="L30" s="36">
        <f t="shared" si="6"/>
        <v>5109.5328601337969</v>
      </c>
      <c r="M30" s="36">
        <f t="shared" si="6"/>
        <v>5201.3323989291948</v>
      </c>
      <c r="N30" s="36">
        <f t="shared" si="6"/>
        <v>5265.4839318013637</v>
      </c>
      <c r="O30" s="36">
        <f t="shared" si="6"/>
        <v>5329.3540538656125</v>
      </c>
      <c r="P30" s="36">
        <f t="shared" si="6"/>
        <v>5386.3972891631192</v>
      </c>
      <c r="Q30" s="36">
        <f t="shared" si="6"/>
        <v>5514.0018512131155</v>
      </c>
      <c r="R30" s="36">
        <f t="shared" si="6"/>
        <v>5661.2908632012068</v>
      </c>
      <c r="S30" s="36">
        <f t="shared" si="6"/>
        <v>5653.4192457540357</v>
      </c>
      <c r="T30" s="36">
        <f t="shared" si="6"/>
        <v>5783.8023531279969</v>
      </c>
      <c r="U30" s="36">
        <f t="shared" si="6"/>
        <v>5846.3947932214041</v>
      </c>
      <c r="V30" s="36">
        <f t="shared" si="6"/>
        <v>5900.8074621785472</v>
      </c>
      <c r="W30" s="36">
        <f t="shared" si="6"/>
        <v>6100.4805918775555</v>
      </c>
      <c r="X30" s="36">
        <f t="shared" si="6"/>
        <v>6160.9188827995777</v>
      </c>
      <c r="Y30" s="36">
        <f t="shared" si="6"/>
        <v>6235.1417213526738</v>
      </c>
      <c r="Z30" s="36">
        <f t="shared" si="6"/>
        <v>6386.7981585723001</v>
      </c>
      <c r="AA30" s="36">
        <f t="shared" si="6"/>
        <v>6464.5095047149462</v>
      </c>
      <c r="AB30" s="36">
        <f t="shared" si="6"/>
        <v>6606.5327325414219</v>
      </c>
      <c r="AC30" s="36">
        <f t="shared" si="6"/>
        <v>6678.8811604938846</v>
      </c>
      <c r="AD30" s="36">
        <f t="shared" si="6"/>
        <v>6748.594355543104</v>
      </c>
      <c r="AE30" s="36">
        <f t="shared" si="6"/>
        <v>6807.8273470165968</v>
      </c>
      <c r="AF30" s="36">
        <f t="shared" si="6"/>
        <v>6949.1795984253249</v>
      </c>
      <c r="AG30" s="36">
        <f t="shared" si="6"/>
        <v>7089.0114821535099</v>
      </c>
      <c r="AH30" s="36">
        <f t="shared" si="6"/>
        <v>7067.2501157482529</v>
      </c>
      <c r="AI30" s="36">
        <f t="shared" si="6"/>
        <v>7208.8814446938477</v>
      </c>
      <c r="AJ30" s="36">
        <f t="shared" si="6"/>
        <v>7268.9418525413548</v>
      </c>
      <c r="AK30" s="36">
        <f t="shared" si="6"/>
        <v>7318.3359002576935</v>
      </c>
      <c r="AL30" s="36">
        <f t="shared" si="6"/>
        <v>7550.7428846062176</v>
      </c>
      <c r="AN30" s="36">
        <f>SUM(AN31:AN35)</f>
        <v>3459.9572243151961</v>
      </c>
      <c r="AO30" s="36">
        <f>SUM(AO31:AO35)</f>
        <v>3816.6972108029458</v>
      </c>
      <c r="AP30" s="36">
        <f>SUM(AP31:AP35)</f>
        <v>4734.4197584783524</v>
      </c>
      <c r="AR30" s="36">
        <f>SUM(AR31:AR35)</f>
        <v>3459.9572243151961</v>
      </c>
      <c r="AS30" s="36">
        <f>SUM(AS31:AS35)</f>
        <v>3316.729222738687</v>
      </c>
      <c r="AT30" s="36">
        <f>SUM(AT31:AT35)</f>
        <v>4242.2781619012985</v>
      </c>
    </row>
    <row r="31" spans="2:46" ht="18" customHeight="1">
      <c r="B31" s="30" t="s">
        <v>16</v>
      </c>
      <c r="C31" s="63">
        <f t="shared" ref="C31:C58" si="7">SUM(D31:AL31)</f>
        <v>117097.34447315465</v>
      </c>
      <c r="D31" s="10">
        <v>2087.5091336408632</v>
      </c>
      <c r="E31" s="10">
        <v>2263.5948519480671</v>
      </c>
      <c r="F31" s="10">
        <v>2681.0706393112591</v>
      </c>
      <c r="G31" s="10">
        <v>2733.0371963079851</v>
      </c>
      <c r="H31" s="10">
        <v>2856.127432929537</v>
      </c>
      <c r="I31" s="10">
        <v>2835.9073587757675</v>
      </c>
      <c r="J31" s="10">
        <v>2839.8167355707405</v>
      </c>
      <c r="K31" s="10">
        <v>2910.155472005611</v>
      </c>
      <c r="L31" s="10">
        <v>2923.9358436275502</v>
      </c>
      <c r="M31" s="10">
        <v>2989.721537788495</v>
      </c>
      <c r="N31" s="10">
        <v>3016.1636843444321</v>
      </c>
      <c r="O31" s="10">
        <v>3042.1099784343005</v>
      </c>
      <c r="P31" s="10">
        <v>3061.2462667929308</v>
      </c>
      <c r="Q31" s="10">
        <v>3151.0331851213928</v>
      </c>
      <c r="R31" s="10">
        <v>3246.5324641035368</v>
      </c>
      <c r="S31" s="10">
        <v>3198.6771193954883</v>
      </c>
      <c r="T31" s="10">
        <v>3289.4184951534298</v>
      </c>
      <c r="U31" s="10">
        <v>3313.0244865710838</v>
      </c>
      <c r="V31" s="10">
        <v>3329.0825249982868</v>
      </c>
      <c r="W31" s="10">
        <v>3490.5331484019812</v>
      </c>
      <c r="X31" s="10">
        <v>3468.8004227369061</v>
      </c>
      <c r="Y31" s="10">
        <v>3496.1594671722423</v>
      </c>
      <c r="Z31" s="10">
        <v>3602.0021356548368</v>
      </c>
      <c r="AA31" s="10">
        <v>3635.1755333282886</v>
      </c>
      <c r="AB31" s="10">
        <v>3733.8878962863923</v>
      </c>
      <c r="AC31" s="10">
        <v>3765.6361519065217</v>
      </c>
      <c r="AD31" s="10">
        <v>3796.2218446361221</v>
      </c>
      <c r="AE31" s="10">
        <v>3817.9513388417108</v>
      </c>
      <c r="AF31" s="10">
        <v>3923.4084974572615</v>
      </c>
      <c r="AG31" s="10">
        <v>4029.1242208877907</v>
      </c>
      <c r="AH31" s="10">
        <v>3969.2437210032276</v>
      </c>
      <c r="AI31" s="10">
        <v>4073.5701867046628</v>
      </c>
      <c r="AJ31" s="10">
        <v>4097.5015773277037</v>
      </c>
      <c r="AK31" s="10">
        <v>4111.8735737461266</v>
      </c>
      <c r="AL31" s="10">
        <v>4318.0903502421188</v>
      </c>
      <c r="AN31" s="10">
        <v>2087.5091336408632</v>
      </c>
      <c r="AO31" s="10">
        <v>2263.5948519480671</v>
      </c>
      <c r="AP31" s="10">
        <v>2681.0706393112591</v>
      </c>
      <c r="AR31" s="10">
        <v>2087.5091336408632</v>
      </c>
      <c r="AS31" s="10">
        <v>2263.5948519480671</v>
      </c>
      <c r="AT31" s="10">
        <v>2681.0706393112591</v>
      </c>
    </row>
    <row r="32" spans="2:46" ht="18" customHeight="1">
      <c r="B32" s="30" t="s">
        <v>15</v>
      </c>
      <c r="C32" s="63">
        <f t="shared" si="7"/>
        <v>522.19878511550382</v>
      </c>
      <c r="D32" s="10">
        <v>436.36319999999995</v>
      </c>
      <c r="E32" s="10">
        <v>63.776268729914584</v>
      </c>
      <c r="F32" s="10">
        <v>22.059316385589263</v>
      </c>
      <c r="G32" s="10">
        <v>0</v>
      </c>
      <c r="H32" s="10">
        <v>0</v>
      </c>
      <c r="I32" s="10">
        <v>0</v>
      </c>
      <c r="J32" s="10">
        <v>0</v>
      </c>
      <c r="K32" s="10">
        <v>0</v>
      </c>
      <c r="L32" s="10">
        <v>0</v>
      </c>
      <c r="M32" s="10">
        <v>0</v>
      </c>
      <c r="N32" s="10">
        <v>0</v>
      </c>
      <c r="O32" s="10">
        <v>0</v>
      </c>
      <c r="P32" s="10">
        <v>0</v>
      </c>
      <c r="Q32" s="10">
        <v>0</v>
      </c>
      <c r="R32" s="10">
        <v>0</v>
      </c>
      <c r="S32" s="10">
        <v>0</v>
      </c>
      <c r="T32" s="10">
        <v>0</v>
      </c>
      <c r="U32" s="10">
        <v>0</v>
      </c>
      <c r="V32" s="10">
        <v>0</v>
      </c>
      <c r="W32" s="10">
        <v>0</v>
      </c>
      <c r="X32" s="10">
        <v>0</v>
      </c>
      <c r="Y32" s="10">
        <v>0</v>
      </c>
      <c r="Z32" s="10">
        <v>0</v>
      </c>
      <c r="AA32" s="10">
        <v>0</v>
      </c>
      <c r="AB32" s="10">
        <v>0</v>
      </c>
      <c r="AC32" s="10">
        <v>0</v>
      </c>
      <c r="AD32" s="10">
        <v>0</v>
      </c>
      <c r="AE32" s="10">
        <v>0</v>
      </c>
      <c r="AF32" s="10">
        <v>0</v>
      </c>
      <c r="AG32" s="10">
        <v>0</v>
      </c>
      <c r="AH32" s="10">
        <v>0</v>
      </c>
      <c r="AI32" s="10">
        <v>0</v>
      </c>
      <c r="AJ32" s="10">
        <v>0</v>
      </c>
      <c r="AK32" s="10">
        <v>0</v>
      </c>
      <c r="AL32" s="10">
        <v>0</v>
      </c>
      <c r="AN32" s="10">
        <v>436.36319999999995</v>
      </c>
      <c r="AO32" s="10">
        <v>63.776268729914584</v>
      </c>
      <c r="AP32" s="10">
        <v>22.059316385589263</v>
      </c>
      <c r="AR32" s="10">
        <v>436.36319999999995</v>
      </c>
      <c r="AS32" s="10">
        <v>63.776268729914584</v>
      </c>
      <c r="AT32" s="10">
        <v>22.059316385589263</v>
      </c>
    </row>
    <row r="33" spans="1:46" ht="18" customHeight="1">
      <c r="B33" s="30" t="s">
        <v>278</v>
      </c>
      <c r="C33" s="63">
        <f t="shared" si="7"/>
        <v>53261.737235469911</v>
      </c>
      <c r="D33" s="141">
        <v>156.4557359152243</v>
      </c>
      <c r="E33" s="141">
        <v>392.49556585118961</v>
      </c>
      <c r="F33" s="141">
        <v>869.01749821134774</v>
      </c>
      <c r="G33" s="141">
        <f>1369.89754343227</f>
        <v>1369.8975434322699</v>
      </c>
      <c r="H33" s="141">
        <f>1378.4511630958</f>
        <v>1378.4511630958</v>
      </c>
      <c r="I33" s="141">
        <f>1390.72536681494</f>
        <v>1390.7253668149399</v>
      </c>
      <c r="J33" s="141">
        <f>1401.94656160982</f>
        <v>1401.94656160982</v>
      </c>
      <c r="K33" s="141">
        <f>1413.0958015997</f>
        <v>1413.0958015997001</v>
      </c>
      <c r="L33" s="141">
        <f>1424.34572671113</f>
        <v>1424.3457267111301</v>
      </c>
      <c r="M33" s="141">
        <f>1435.62920815832</f>
        <v>1435.6292081583199</v>
      </c>
      <c r="N33" s="141">
        <v>1454.3944313915904</v>
      </c>
      <c r="O33" s="141">
        <v>1473.1282496412891</v>
      </c>
      <c r="P33" s="141">
        <v>1491.7503701140258</v>
      </c>
      <c r="Q33" s="141">
        <v>1510.1948377315086</v>
      </c>
      <c r="R33" s="141">
        <v>1528.4047175207236</v>
      </c>
      <c r="S33" s="141">
        <v>1546.3277909562041</v>
      </c>
      <c r="T33" s="141">
        <v>1563.9416610681965</v>
      </c>
      <c r="U33" s="141">
        <v>1581.2557720073</v>
      </c>
      <c r="V33" s="141">
        <v>1598.2847429713797</v>
      </c>
      <c r="W33" s="141">
        <v>1615.2892058868804</v>
      </c>
      <c r="X33" s="141">
        <v>1637.9827078450901</v>
      </c>
      <c r="Y33" s="141">
        <v>1660.2304885401734</v>
      </c>
      <c r="Z33" s="141">
        <v>1682.0245727802724</v>
      </c>
      <c r="AA33" s="141">
        <v>1703.352278561089</v>
      </c>
      <c r="AB33" s="141">
        <v>1724.1988069962279</v>
      </c>
      <c r="AC33" s="141">
        <v>1744.5444314772917</v>
      </c>
      <c r="AD33" s="141">
        <v>1764.3637449922223</v>
      </c>
      <c r="AE33" s="141">
        <v>1783.6285583474905</v>
      </c>
      <c r="AF33" s="141">
        <v>1802.3036234959561</v>
      </c>
      <c r="AG33" s="141">
        <v>1820.3533804640815</v>
      </c>
      <c r="AH33" s="141">
        <v>1837.7431412932033</v>
      </c>
      <c r="AI33" s="141">
        <v>1854.4367610623326</v>
      </c>
      <c r="AJ33" s="141">
        <v>1870.4044326704934</v>
      </c>
      <c r="AK33" s="141">
        <v>1885.6405579191121</v>
      </c>
      <c r="AL33" s="141">
        <v>1895.497798336032</v>
      </c>
      <c r="AN33" s="141">
        <v>156.45573591522424</v>
      </c>
      <c r="AO33" s="141">
        <v>892.4635539154483</v>
      </c>
      <c r="AP33" s="141">
        <v>1361.1590947884019</v>
      </c>
      <c r="AR33" s="262">
        <v>156.4557359152243</v>
      </c>
      <c r="AS33" s="262">
        <v>392.49556585118961</v>
      </c>
      <c r="AT33" s="262">
        <v>869.01749821134774</v>
      </c>
    </row>
    <row r="34" spans="1:46" ht="18" customHeight="1">
      <c r="A34" t="s">
        <v>360</v>
      </c>
      <c r="B34" s="30" t="s">
        <v>357</v>
      </c>
      <c r="C34" s="63">
        <f t="shared" si="7"/>
        <v>33877.081061320532</v>
      </c>
      <c r="D34" s="10">
        <v>544.15485673919648</v>
      </c>
      <c r="E34" s="10">
        <v>596.86253620951595</v>
      </c>
      <c r="F34" s="10">
        <v>670.13070799310242</v>
      </c>
      <c r="G34" s="140">
        <v>683.2950981872649</v>
      </c>
      <c r="H34" s="140">
        <v>696.35473478660936</v>
      </c>
      <c r="I34" s="140">
        <v>710.22139494080591</v>
      </c>
      <c r="J34" s="140">
        <v>723.96082990253558</v>
      </c>
      <c r="K34" s="140">
        <v>738.03371823829332</v>
      </c>
      <c r="L34" s="140">
        <v>761.25128979511601</v>
      </c>
      <c r="M34" s="140">
        <v>775.98165298237996</v>
      </c>
      <c r="N34" s="140">
        <v>794.92581606534077</v>
      </c>
      <c r="O34" s="140">
        <v>814.11582579002197</v>
      </c>
      <c r="P34" s="140">
        <v>833.40065225616218</v>
      </c>
      <c r="Q34" s="140">
        <v>852.77382836021343</v>
      </c>
      <c r="R34" s="140">
        <v>886.35368157694643</v>
      </c>
      <c r="S34" s="140">
        <v>908.4143354023438</v>
      </c>
      <c r="T34" s="140">
        <v>930.44219690637055</v>
      </c>
      <c r="U34" s="140">
        <v>952.11453464302019</v>
      </c>
      <c r="V34" s="140">
        <v>973.44019420888083</v>
      </c>
      <c r="W34" s="140">
        <v>994.65823758869351</v>
      </c>
      <c r="X34" s="140">
        <v>1054.1357522175811</v>
      </c>
      <c r="Y34" s="140">
        <v>1078.7517656402579</v>
      </c>
      <c r="Z34" s="140">
        <v>1102.7714501371911</v>
      </c>
      <c r="AA34" s="140">
        <v>1125.9816928255682</v>
      </c>
      <c r="AB34" s="140">
        <v>1148.4460292588021</v>
      </c>
      <c r="AC34" s="140">
        <v>1168.7005771100712</v>
      </c>
      <c r="AD34" s="140">
        <v>1188.0087659147589</v>
      </c>
      <c r="AE34" s="140">
        <v>1206.2474498273946</v>
      </c>
      <c r="AF34" s="140">
        <v>1223.4674774721072</v>
      </c>
      <c r="AG34" s="140">
        <v>1239.5338808016379</v>
      </c>
      <c r="AH34" s="140">
        <v>1260.2632534518216</v>
      </c>
      <c r="AI34" s="140">
        <v>1280.874496926853</v>
      </c>
      <c r="AJ34" s="140">
        <v>1301.0358425431582</v>
      </c>
      <c r="AK34" s="140">
        <v>1320.8217685924549</v>
      </c>
      <c r="AL34" s="140">
        <v>1337.1547360280665</v>
      </c>
      <c r="AN34" s="140">
        <v>544.15485673919648</v>
      </c>
      <c r="AO34" s="140">
        <v>596.86253620951595</v>
      </c>
      <c r="AP34" s="140">
        <v>670.13070799310242</v>
      </c>
      <c r="AR34" s="10">
        <v>544.15485673919648</v>
      </c>
      <c r="AS34" s="10">
        <v>596.86253620951595</v>
      </c>
      <c r="AT34" s="10">
        <v>670.13070799310242</v>
      </c>
    </row>
    <row r="35" spans="1:46" ht="18" customHeight="1">
      <c r="B35" s="32" t="s">
        <v>414</v>
      </c>
      <c r="C35" s="63">
        <f t="shared" si="7"/>
        <v>235.47429801991274</v>
      </c>
      <c r="D35" s="10">
        <v>235.47429801991274</v>
      </c>
      <c r="E35" s="10"/>
      <c r="F35" s="10"/>
      <c r="G35" s="140">
        <v>0</v>
      </c>
      <c r="H35" s="140">
        <v>0</v>
      </c>
      <c r="I35" s="140">
        <v>0</v>
      </c>
      <c r="J35" s="140">
        <v>0</v>
      </c>
      <c r="K35" s="140">
        <v>0</v>
      </c>
      <c r="L35" s="140">
        <v>0</v>
      </c>
      <c r="M35" s="140">
        <v>0</v>
      </c>
      <c r="N35" s="140">
        <v>0</v>
      </c>
      <c r="O35" s="140">
        <v>0</v>
      </c>
      <c r="P35" s="140">
        <v>0</v>
      </c>
      <c r="Q35" s="140">
        <v>0</v>
      </c>
      <c r="R35" s="140">
        <v>0</v>
      </c>
      <c r="S35" s="140">
        <v>0</v>
      </c>
      <c r="T35" s="140">
        <v>0</v>
      </c>
      <c r="U35" s="140">
        <v>0</v>
      </c>
      <c r="V35" s="140">
        <v>0</v>
      </c>
      <c r="W35" s="140">
        <v>0</v>
      </c>
      <c r="X35" s="140">
        <v>0</v>
      </c>
      <c r="Y35" s="140">
        <v>0</v>
      </c>
      <c r="Z35" s="140">
        <v>0</v>
      </c>
      <c r="AA35" s="140">
        <v>0</v>
      </c>
      <c r="AB35" s="140">
        <v>0</v>
      </c>
      <c r="AC35" s="140">
        <v>0</v>
      </c>
      <c r="AD35" s="140">
        <v>0</v>
      </c>
      <c r="AE35" s="140">
        <v>0</v>
      </c>
      <c r="AF35" s="140">
        <v>0</v>
      </c>
      <c r="AG35" s="140">
        <v>0</v>
      </c>
      <c r="AH35" s="140">
        <v>0</v>
      </c>
      <c r="AI35" s="140">
        <v>0</v>
      </c>
      <c r="AJ35" s="140">
        <v>0</v>
      </c>
      <c r="AK35" s="140">
        <v>0</v>
      </c>
      <c r="AL35" s="140">
        <v>0</v>
      </c>
      <c r="AN35" s="140">
        <v>235.47429801991274</v>
      </c>
      <c r="AO35" s="140">
        <v>0</v>
      </c>
      <c r="AP35" s="140">
        <v>0</v>
      </c>
      <c r="AR35" s="10">
        <v>235.47429801991274</v>
      </c>
      <c r="AS35" s="10"/>
      <c r="AT35" s="10"/>
    </row>
    <row r="36" spans="1:46" ht="24.95" customHeight="1">
      <c r="B36" s="34" t="s">
        <v>17</v>
      </c>
      <c r="C36" s="35">
        <f t="shared" si="7"/>
        <v>319690.63078367763</v>
      </c>
      <c r="D36" s="36">
        <f>D37</f>
        <v>1095.9084936900663</v>
      </c>
      <c r="E36" s="36">
        <f>E37</f>
        <v>5570.4293865274067</v>
      </c>
      <c r="F36" s="36">
        <f>F37</f>
        <v>10604.111247717326</v>
      </c>
      <c r="G36" s="36">
        <f t="shared" ref="G36:AL36" si="8">G37</f>
        <v>9903.2205016724874</v>
      </c>
      <c r="H36" s="36">
        <f t="shared" si="8"/>
        <v>9954.0213234049861</v>
      </c>
      <c r="I36" s="36">
        <f t="shared" si="8"/>
        <v>9027.5922835141882</v>
      </c>
      <c r="J36" s="36">
        <f t="shared" si="8"/>
        <v>7626.98487004658</v>
      </c>
      <c r="K36" s="36">
        <f t="shared" si="8"/>
        <v>7033.923826647504</v>
      </c>
      <c r="L36" s="36">
        <f t="shared" si="8"/>
        <v>6893.5780313579617</v>
      </c>
      <c r="M36" s="36">
        <f t="shared" si="8"/>
        <v>6745.411692203852</v>
      </c>
      <c r="N36" s="36">
        <f t="shared" si="8"/>
        <v>6837.009688644519</v>
      </c>
      <c r="O36" s="36">
        <f t="shared" si="8"/>
        <v>6989.6148701007687</v>
      </c>
      <c r="P36" s="36">
        <f t="shared" si="8"/>
        <v>6942.6670505757684</v>
      </c>
      <c r="Q36" s="36">
        <f t="shared" si="8"/>
        <v>8016.3500608492068</v>
      </c>
      <c r="R36" s="36">
        <f t="shared" si="8"/>
        <v>9139.7999533101429</v>
      </c>
      <c r="S36" s="36">
        <f t="shared" si="8"/>
        <v>9225.1830752469832</v>
      </c>
      <c r="T36" s="36">
        <f t="shared" si="8"/>
        <v>9293.5397767978138</v>
      </c>
      <c r="U36" s="36">
        <f t="shared" si="8"/>
        <v>9884.8947229358419</v>
      </c>
      <c r="V36" s="36">
        <f t="shared" si="8"/>
        <v>8829.428271568655</v>
      </c>
      <c r="W36" s="36">
        <f t="shared" si="8"/>
        <v>7705.978379107718</v>
      </c>
      <c r="X36" s="36">
        <f t="shared" si="8"/>
        <v>7723.4777348889675</v>
      </c>
      <c r="Y36" s="36">
        <f t="shared" si="8"/>
        <v>7765.1889522443871</v>
      </c>
      <c r="Z36" s="36">
        <f t="shared" si="8"/>
        <v>7671.4475338185575</v>
      </c>
      <c r="AA36" s="36">
        <f t="shared" si="8"/>
        <v>8881.0206250880892</v>
      </c>
      <c r="AB36" s="36">
        <f t="shared" si="8"/>
        <v>10140.563555263871</v>
      </c>
      <c r="AC36" s="36">
        <f t="shared" si="8"/>
        <v>9973.7984194826204</v>
      </c>
      <c r="AD36" s="36">
        <f t="shared" si="8"/>
        <v>9706.8806258888708</v>
      </c>
      <c r="AE36" s="36">
        <f t="shared" si="8"/>
        <v>9706.6676458888705</v>
      </c>
      <c r="AF36" s="36">
        <f t="shared" si="8"/>
        <v>8647.3970627443396</v>
      </c>
      <c r="AG36" s="36">
        <f t="shared" si="8"/>
        <v>7552.7497217873079</v>
      </c>
      <c r="AH36" s="36">
        <f t="shared" si="8"/>
        <v>12310.480891712987</v>
      </c>
      <c r="AI36" s="36">
        <f t="shared" si="8"/>
        <v>12714.912845493369</v>
      </c>
      <c r="AJ36" s="36">
        <f t="shared" si="8"/>
        <v>12647.968466587119</v>
      </c>
      <c r="AK36" s="36">
        <f t="shared" si="8"/>
        <v>14200.479225088617</v>
      </c>
      <c r="AL36" s="36">
        <f t="shared" si="8"/>
        <v>22727.949971779868</v>
      </c>
      <c r="AN36" s="36">
        <f>AN37</f>
        <v>0</v>
      </c>
      <c r="AO36" s="36">
        <f>AO37</f>
        <v>0</v>
      </c>
      <c r="AP36" s="36">
        <f>AP37</f>
        <v>0</v>
      </c>
      <c r="AR36" s="36">
        <f>AR37</f>
        <v>0</v>
      </c>
      <c r="AS36" s="36">
        <f>AS37</f>
        <v>0</v>
      </c>
      <c r="AT36" s="36">
        <f>AT37</f>
        <v>0</v>
      </c>
    </row>
    <row r="37" spans="1:46" ht="18" customHeight="1">
      <c r="B37" s="175" t="s">
        <v>18</v>
      </c>
      <c r="C37" s="176">
        <f t="shared" si="7"/>
        <v>319690.63078367763</v>
      </c>
      <c r="D37" s="264">
        <v>1095.9084936900663</v>
      </c>
      <c r="E37" s="264">
        <v>5570.4293865274067</v>
      </c>
      <c r="F37" s="264">
        <v>10604.111247717326</v>
      </c>
      <c r="G37" s="177">
        <f>QDF!H17</f>
        <v>9903.2205016724874</v>
      </c>
      <c r="H37" s="177">
        <f>QDF!I17</f>
        <v>9954.0213234049861</v>
      </c>
      <c r="I37" s="177">
        <f>QDF!J17</f>
        <v>9027.5922835141882</v>
      </c>
      <c r="J37" s="177">
        <f>QDF!K17</f>
        <v>7626.98487004658</v>
      </c>
      <c r="K37" s="177">
        <f>QDF!L17</f>
        <v>7033.923826647504</v>
      </c>
      <c r="L37" s="177">
        <f>QDF!M17</f>
        <v>6893.5780313579617</v>
      </c>
      <c r="M37" s="177">
        <f>QDF!N17</f>
        <v>6745.411692203852</v>
      </c>
      <c r="N37" s="177">
        <f>QDF!O17</f>
        <v>6837.009688644519</v>
      </c>
      <c r="O37" s="177">
        <f>QDF!P17</f>
        <v>6989.6148701007687</v>
      </c>
      <c r="P37" s="177">
        <f>QDF!Q17</f>
        <v>6942.6670505757684</v>
      </c>
      <c r="Q37" s="177">
        <f>QDF!R17</f>
        <v>8016.3500608492068</v>
      </c>
      <c r="R37" s="177">
        <f>QDF!S17</f>
        <v>9139.7999533101429</v>
      </c>
      <c r="S37" s="177">
        <f>QDF!T17</f>
        <v>9225.1830752469832</v>
      </c>
      <c r="T37" s="177">
        <f>QDF!U17</f>
        <v>9293.5397767978138</v>
      </c>
      <c r="U37" s="177">
        <f>QDF!V17</f>
        <v>9884.8947229358419</v>
      </c>
      <c r="V37" s="177">
        <f>QDF!W17</f>
        <v>8829.428271568655</v>
      </c>
      <c r="W37" s="177">
        <f>QDF!X17</f>
        <v>7705.978379107718</v>
      </c>
      <c r="X37" s="177">
        <f>QDF!Y17</f>
        <v>7723.4777348889675</v>
      </c>
      <c r="Y37" s="177">
        <f>QDF!Z17</f>
        <v>7765.1889522443871</v>
      </c>
      <c r="Z37" s="177">
        <f>QDF!AA17</f>
        <v>7671.4475338185575</v>
      </c>
      <c r="AA37" s="177">
        <f>QDF!AB17</f>
        <v>8881.0206250880892</v>
      </c>
      <c r="AB37" s="177">
        <f>QDF!AC17</f>
        <v>10140.563555263871</v>
      </c>
      <c r="AC37" s="177">
        <f>QDF!AD17</f>
        <v>9973.7984194826204</v>
      </c>
      <c r="AD37" s="177">
        <f>QDF!AE17</f>
        <v>9706.8806258888708</v>
      </c>
      <c r="AE37" s="177">
        <f>QDF!AF17</f>
        <v>9706.6676458888705</v>
      </c>
      <c r="AF37" s="177">
        <f>QDF!AG17</f>
        <v>8647.3970627443396</v>
      </c>
      <c r="AG37" s="177">
        <f>QDF!AH17</f>
        <v>7552.7497217873079</v>
      </c>
      <c r="AH37" s="177">
        <f>QDF!AI17</f>
        <v>12310.480891712987</v>
      </c>
      <c r="AI37" s="177">
        <f>QDF!AJ17</f>
        <v>12714.912845493369</v>
      </c>
      <c r="AJ37" s="177">
        <f>QDF!AK17</f>
        <v>12647.968466587119</v>
      </c>
      <c r="AK37" s="177">
        <f>QDF!AL17</f>
        <v>14200.479225088617</v>
      </c>
      <c r="AL37" s="177">
        <f>QDF!AM17</f>
        <v>22727.949971779868</v>
      </c>
      <c r="AN37" s="264"/>
      <c r="AO37" s="264"/>
      <c r="AP37" s="264"/>
      <c r="AR37" s="264"/>
      <c r="AS37" s="264"/>
      <c r="AT37" s="264"/>
    </row>
    <row r="38" spans="1:46" s="31" customFormat="1" ht="24.95" customHeight="1">
      <c r="B38" s="34" t="s">
        <v>23</v>
      </c>
      <c r="C38" s="35">
        <f t="shared" si="7"/>
        <v>39624.86207868177</v>
      </c>
      <c r="D38" s="36">
        <f>SUM(D39:D42)</f>
        <v>579.04000690985606</v>
      </c>
      <c r="E38" s="36">
        <f>SUM(E39:E42)</f>
        <v>778.78878617912414</v>
      </c>
      <c r="F38" s="36">
        <f>SUM(F39:F42)</f>
        <v>879.63322463950726</v>
      </c>
      <c r="G38" s="36">
        <f t="shared" ref="G38:AG38" si="9">SUM(G39:G42)</f>
        <v>893.83273721416685</v>
      </c>
      <c r="H38" s="36">
        <f t="shared" si="9"/>
        <v>906.83351919633242</v>
      </c>
      <c r="I38" s="36">
        <f t="shared" si="9"/>
        <v>921.04600512168372</v>
      </c>
      <c r="J38" s="36">
        <f t="shared" si="9"/>
        <v>936.10340478264834</v>
      </c>
      <c r="K38" s="36">
        <f t="shared" si="9"/>
        <v>951.2715480503432</v>
      </c>
      <c r="L38" s="36">
        <f t="shared" si="9"/>
        <v>967.99058941989756</v>
      </c>
      <c r="M38" s="36">
        <f t="shared" si="9"/>
        <v>986.05011758016906</v>
      </c>
      <c r="N38" s="36">
        <f t="shared" si="9"/>
        <v>1001.5359353221106</v>
      </c>
      <c r="O38" s="36">
        <f t="shared" si="9"/>
        <v>1019.8172003951441</v>
      </c>
      <c r="P38" s="36">
        <f t="shared" si="9"/>
        <v>1033.2780031771067</v>
      </c>
      <c r="Q38" s="36">
        <f t="shared" si="9"/>
        <v>1047.3219420474807</v>
      </c>
      <c r="R38" s="36">
        <f t="shared" si="9"/>
        <v>1084.4847415249133</v>
      </c>
      <c r="S38" s="36">
        <f t="shared" si="9"/>
        <v>1101.5342917789808</v>
      </c>
      <c r="T38" s="36">
        <f t="shared" si="9"/>
        <v>1121.95822773891</v>
      </c>
      <c r="U38" s="36">
        <f t="shared" si="9"/>
        <v>1137.9216847013745</v>
      </c>
      <c r="V38" s="36">
        <f t="shared" si="9"/>
        <v>1154.565801921568</v>
      </c>
      <c r="W38" s="36">
        <f t="shared" si="9"/>
        <v>1171.1086484229825</v>
      </c>
      <c r="X38" s="36">
        <f t="shared" si="9"/>
        <v>1186.1296841306043</v>
      </c>
      <c r="Y38" s="36">
        <f t="shared" si="9"/>
        <v>1208.2154799665514</v>
      </c>
      <c r="Z38" s="36">
        <f t="shared" si="9"/>
        <v>1225.1143614668986</v>
      </c>
      <c r="AA38" s="36">
        <f t="shared" si="9"/>
        <v>1242.9716362817953</v>
      </c>
      <c r="AB38" s="36">
        <f t="shared" si="9"/>
        <v>1284.2717199999995</v>
      </c>
      <c r="AC38" s="36">
        <f t="shared" si="9"/>
        <v>1301.1084112932538</v>
      </c>
      <c r="AD38" s="36">
        <f t="shared" si="9"/>
        <v>1319.71243838908</v>
      </c>
      <c r="AE38" s="36">
        <f t="shared" si="9"/>
        <v>1333.2013257440817</v>
      </c>
      <c r="AF38" s="36">
        <f t="shared" si="9"/>
        <v>1348.5551039311451</v>
      </c>
      <c r="AG38" s="36">
        <f t="shared" si="9"/>
        <v>1368.3792121635672</v>
      </c>
      <c r="AH38" s="36">
        <f>SUM(AH39:AH42)</f>
        <v>1384.8390741992059</v>
      </c>
      <c r="AI38" s="36">
        <f>SUM(AI39:AI42)</f>
        <v>1409.3861456392517</v>
      </c>
      <c r="AJ38" s="36">
        <f>SUM(AJ39:AJ42)</f>
        <v>1428.4232745670618</v>
      </c>
      <c r="AK38" s="36">
        <f>SUM(AK39:AK42)</f>
        <v>1443.9369527639187</v>
      </c>
      <c r="AL38" s="36">
        <f>SUM(AL39:AL42)</f>
        <v>1466.5008420210522</v>
      </c>
      <c r="AN38" s="36">
        <f>SUM(AN39:AN42)</f>
        <v>579.04000690985606</v>
      </c>
      <c r="AO38" s="36">
        <f>SUM(AO39:AO42)</f>
        <v>778.78878617912414</v>
      </c>
      <c r="AP38" s="36">
        <f>SUM(AP39:AP42)</f>
        <v>879.63322463950703</v>
      </c>
      <c r="AR38" s="36">
        <f>SUM(AR39:AR42)</f>
        <v>579.04000690985606</v>
      </c>
      <c r="AS38" s="36">
        <f>SUM(AS39:AS42)</f>
        <v>778.78878617912414</v>
      </c>
      <c r="AT38" s="36">
        <f>SUM(AT39:AT42)</f>
        <v>879.63322463950726</v>
      </c>
    </row>
    <row r="39" spans="1:46" ht="18" customHeight="1">
      <c r="B39" s="30" t="s">
        <v>24</v>
      </c>
      <c r="C39" s="63">
        <f t="shared" si="7"/>
        <v>2975.9687999999978</v>
      </c>
      <c r="D39" s="140">
        <v>42.652800000000006</v>
      </c>
      <c r="E39" s="140">
        <v>86.274000000000001</v>
      </c>
      <c r="F39" s="140">
        <v>86.274000000000001</v>
      </c>
      <c r="G39" s="140">
        <v>86.274000000000001</v>
      </c>
      <c r="H39" s="140">
        <v>86.274000000000001</v>
      </c>
      <c r="I39" s="140">
        <v>86.274000000000001</v>
      </c>
      <c r="J39" s="140">
        <v>86.274000000000001</v>
      </c>
      <c r="K39" s="140">
        <v>86.274000000000001</v>
      </c>
      <c r="L39" s="140">
        <v>86.274000000000001</v>
      </c>
      <c r="M39" s="140">
        <v>86.274000000000001</v>
      </c>
      <c r="N39" s="140">
        <v>86.274000000000001</v>
      </c>
      <c r="O39" s="140">
        <v>86.274000000000001</v>
      </c>
      <c r="P39" s="140">
        <v>86.274000000000001</v>
      </c>
      <c r="Q39" s="140">
        <v>86.274000000000001</v>
      </c>
      <c r="R39" s="140">
        <v>86.274000000000001</v>
      </c>
      <c r="S39" s="140">
        <v>86.274000000000001</v>
      </c>
      <c r="T39" s="140">
        <v>86.274000000000001</v>
      </c>
      <c r="U39" s="140">
        <v>86.274000000000001</v>
      </c>
      <c r="V39" s="140">
        <v>86.274000000000001</v>
      </c>
      <c r="W39" s="140">
        <v>86.274000000000001</v>
      </c>
      <c r="X39" s="140">
        <v>86.274000000000001</v>
      </c>
      <c r="Y39" s="140">
        <v>86.274000000000001</v>
      </c>
      <c r="Z39" s="140">
        <v>86.274000000000001</v>
      </c>
      <c r="AA39" s="140">
        <v>86.274000000000001</v>
      </c>
      <c r="AB39" s="140">
        <v>86.274000000000001</v>
      </c>
      <c r="AC39" s="140">
        <v>86.274000000000001</v>
      </c>
      <c r="AD39" s="140">
        <v>86.274000000000001</v>
      </c>
      <c r="AE39" s="140">
        <v>86.274000000000001</v>
      </c>
      <c r="AF39" s="140">
        <v>86.274000000000001</v>
      </c>
      <c r="AG39" s="140">
        <v>86.274000000000001</v>
      </c>
      <c r="AH39" s="140">
        <v>86.274000000000001</v>
      </c>
      <c r="AI39" s="140">
        <v>86.274000000000001</v>
      </c>
      <c r="AJ39" s="140">
        <v>86.274000000000001</v>
      </c>
      <c r="AK39" s="140">
        <v>86.274000000000001</v>
      </c>
      <c r="AL39" s="140">
        <v>86.274000000000001</v>
      </c>
      <c r="AN39" s="140">
        <v>42.652800000000006</v>
      </c>
      <c r="AO39" s="140">
        <v>86.274000000000001</v>
      </c>
      <c r="AP39" s="140">
        <v>86.274000000000001</v>
      </c>
      <c r="AR39" s="140">
        <v>42.652800000000006</v>
      </c>
      <c r="AS39" s="140">
        <v>86.274000000000001</v>
      </c>
      <c r="AT39" s="140">
        <v>86.274000000000001</v>
      </c>
    </row>
    <row r="40" spans="1:46" ht="18" customHeight="1">
      <c r="B40" s="30" t="s">
        <v>25</v>
      </c>
      <c r="C40" s="63">
        <f t="shared" si="7"/>
        <v>697.51119977573751</v>
      </c>
      <c r="D40" s="10">
        <v>161.07000000000005</v>
      </c>
      <c r="E40" s="10">
        <v>112.74900000000004</v>
      </c>
      <c r="F40" s="10">
        <v>9.664200000000001</v>
      </c>
      <c r="G40" s="10">
        <v>11.644393316882903</v>
      </c>
      <c r="H40" s="10">
        <v>11.692368765989128</v>
      </c>
      <c r="I40" s="10">
        <v>12.337023507804396</v>
      </c>
      <c r="J40" s="10">
        <v>12.324970489856026</v>
      </c>
      <c r="K40" s="10">
        <v>12.338330963181408</v>
      </c>
      <c r="L40" s="10">
        <v>12.375202206272677</v>
      </c>
      <c r="M40" s="10">
        <v>12.490425556285279</v>
      </c>
      <c r="N40" s="10">
        <v>12.526512847586035</v>
      </c>
      <c r="O40" s="10">
        <v>12.530915268269373</v>
      </c>
      <c r="P40" s="10">
        <v>12.549457878829566</v>
      </c>
      <c r="Q40" s="10">
        <v>12.556407935631279</v>
      </c>
      <c r="R40" s="10">
        <v>12.59320411480933</v>
      </c>
      <c r="S40" s="10">
        <v>12.833349054519632</v>
      </c>
      <c r="T40" s="10">
        <v>12.809978072042407</v>
      </c>
      <c r="U40" s="10">
        <v>12.857357139443787</v>
      </c>
      <c r="V40" s="10">
        <v>12.868913062100413</v>
      </c>
      <c r="W40" s="10">
        <v>12.877885412257941</v>
      </c>
      <c r="X40" s="10">
        <v>12.942930504304114</v>
      </c>
      <c r="Y40" s="10">
        <v>13.358641047761518</v>
      </c>
      <c r="Z40" s="10">
        <v>13.375998613206214</v>
      </c>
      <c r="AA40" s="10">
        <v>13.413490118542493</v>
      </c>
      <c r="AB40" s="10">
        <v>13.424081835181989</v>
      </c>
      <c r="AC40" s="10">
        <v>13.470988014895552</v>
      </c>
      <c r="AD40" s="10">
        <v>13.473317770394596</v>
      </c>
      <c r="AE40" s="10">
        <v>13.488790086454594</v>
      </c>
      <c r="AF40" s="10">
        <v>13.491998972995971</v>
      </c>
      <c r="AG40" s="10">
        <v>13.525276424618104</v>
      </c>
      <c r="AH40" s="10">
        <v>13.560466432792836</v>
      </c>
      <c r="AI40" s="10">
        <v>13.532953367935866</v>
      </c>
      <c r="AJ40" s="10">
        <v>13.578987138584941</v>
      </c>
      <c r="AK40" s="10">
        <v>13.588949750197274</v>
      </c>
      <c r="AL40" s="10">
        <v>13.594434106109832</v>
      </c>
      <c r="AN40" s="10">
        <v>161.07000000000005</v>
      </c>
      <c r="AO40" s="10">
        <v>112.74900000000004</v>
      </c>
      <c r="AP40" s="10">
        <v>9.664200000000001</v>
      </c>
      <c r="AR40" s="10">
        <v>161.07000000000005</v>
      </c>
      <c r="AS40" s="10">
        <v>112.74900000000004</v>
      </c>
      <c r="AT40" s="10">
        <v>9.664200000000001</v>
      </c>
    </row>
    <row r="41" spans="1:46" ht="18" customHeight="1">
      <c r="B41" s="30" t="s">
        <v>277</v>
      </c>
      <c r="C41" s="63">
        <f t="shared" si="7"/>
        <v>25451.382078906023</v>
      </c>
      <c r="D41" s="10">
        <v>75.317206909856012</v>
      </c>
      <c r="E41" s="10">
        <v>279.76578617912406</v>
      </c>
      <c r="F41" s="10">
        <v>483.69502463950721</v>
      </c>
      <c r="G41" s="10">
        <v>495.91434389728397</v>
      </c>
      <c r="H41" s="10">
        <v>508.86715043034332</v>
      </c>
      <c r="I41" s="10">
        <v>522.43498161387936</v>
      </c>
      <c r="J41" s="10">
        <v>537.50443429279233</v>
      </c>
      <c r="K41" s="10">
        <v>552.65921708716178</v>
      </c>
      <c r="L41" s="10">
        <v>569.3413872136249</v>
      </c>
      <c r="M41" s="10">
        <v>587.28569202388383</v>
      </c>
      <c r="N41" s="10">
        <v>602.73542247452463</v>
      </c>
      <c r="O41" s="10">
        <v>621.01228512687476</v>
      </c>
      <c r="P41" s="10">
        <v>634.45454529827714</v>
      </c>
      <c r="Q41" s="10">
        <v>648.49153411184943</v>
      </c>
      <c r="R41" s="10">
        <v>685.61753741010398</v>
      </c>
      <c r="S41" s="10">
        <v>702.42694272446124</v>
      </c>
      <c r="T41" s="10">
        <v>722.87424966686751</v>
      </c>
      <c r="U41" s="10">
        <v>738.79032756193055</v>
      </c>
      <c r="V41" s="10">
        <v>755.42288885946743</v>
      </c>
      <c r="W41" s="10">
        <v>771.95676301072456</v>
      </c>
      <c r="X41" s="10">
        <v>786.91275362630029</v>
      </c>
      <c r="Y41" s="10">
        <v>808.58283891878989</v>
      </c>
      <c r="Z41" s="10">
        <v>825.46436285369236</v>
      </c>
      <c r="AA41" s="10">
        <v>843.2841461632529</v>
      </c>
      <c r="AB41" s="10">
        <v>884.57363816481745</v>
      </c>
      <c r="AC41" s="10">
        <v>901.36342327835825</v>
      </c>
      <c r="AD41" s="10">
        <v>919.96512061868532</v>
      </c>
      <c r="AE41" s="10">
        <v>933.4385356576272</v>
      </c>
      <c r="AF41" s="10">
        <v>948.7891049581491</v>
      </c>
      <c r="AG41" s="10">
        <v>968.57993573894919</v>
      </c>
      <c r="AH41" s="10">
        <v>985.00460776641319</v>
      </c>
      <c r="AI41" s="10">
        <v>1009.5791922713159</v>
      </c>
      <c r="AJ41" s="10">
        <v>1028.5702874284768</v>
      </c>
      <c r="AK41" s="10">
        <v>1044.0740030137215</v>
      </c>
      <c r="AL41" s="10">
        <v>1066.6324079149424</v>
      </c>
      <c r="AN41" s="10">
        <v>75.317206909856012</v>
      </c>
      <c r="AO41" s="10">
        <v>279.76578617912406</v>
      </c>
      <c r="AP41" s="10">
        <v>483.69502463950698</v>
      </c>
      <c r="AR41" s="10">
        <v>75.317206909856012</v>
      </c>
      <c r="AS41" s="10">
        <v>279.76578617912406</v>
      </c>
      <c r="AT41" s="10">
        <v>483.69502463950721</v>
      </c>
    </row>
    <row r="42" spans="1:46" ht="18" customHeight="1">
      <c r="A42" t="s">
        <v>359</v>
      </c>
      <c r="B42" s="30" t="s">
        <v>358</v>
      </c>
      <c r="C42" s="63">
        <f t="shared" si="7"/>
        <v>10500</v>
      </c>
      <c r="D42" s="10">
        <v>300</v>
      </c>
      <c r="E42" s="10">
        <v>300</v>
      </c>
      <c r="F42" s="10">
        <v>300</v>
      </c>
      <c r="G42" s="10">
        <v>300</v>
      </c>
      <c r="H42" s="10">
        <v>300</v>
      </c>
      <c r="I42" s="10">
        <v>300</v>
      </c>
      <c r="J42" s="10">
        <v>300</v>
      </c>
      <c r="K42" s="10">
        <v>300</v>
      </c>
      <c r="L42" s="10">
        <v>300</v>
      </c>
      <c r="M42" s="10">
        <v>300</v>
      </c>
      <c r="N42" s="10">
        <v>300</v>
      </c>
      <c r="O42" s="10">
        <v>300</v>
      </c>
      <c r="P42" s="10">
        <v>300</v>
      </c>
      <c r="Q42" s="10">
        <v>300</v>
      </c>
      <c r="R42" s="10">
        <v>300</v>
      </c>
      <c r="S42" s="10">
        <v>300</v>
      </c>
      <c r="T42" s="10">
        <v>300</v>
      </c>
      <c r="U42" s="10">
        <v>300</v>
      </c>
      <c r="V42" s="10">
        <v>300</v>
      </c>
      <c r="W42" s="10">
        <v>300</v>
      </c>
      <c r="X42" s="10">
        <v>300</v>
      </c>
      <c r="Y42" s="10">
        <v>300</v>
      </c>
      <c r="Z42" s="10">
        <v>300</v>
      </c>
      <c r="AA42" s="10">
        <v>300</v>
      </c>
      <c r="AB42" s="10">
        <v>300</v>
      </c>
      <c r="AC42" s="10">
        <v>300</v>
      </c>
      <c r="AD42" s="10">
        <v>300</v>
      </c>
      <c r="AE42" s="10">
        <v>300</v>
      </c>
      <c r="AF42" s="10">
        <v>300</v>
      </c>
      <c r="AG42" s="10">
        <v>300</v>
      </c>
      <c r="AH42" s="10">
        <v>300</v>
      </c>
      <c r="AI42" s="10">
        <v>300</v>
      </c>
      <c r="AJ42" s="10">
        <v>300</v>
      </c>
      <c r="AK42" s="10">
        <v>300</v>
      </c>
      <c r="AL42" s="10">
        <v>300</v>
      </c>
      <c r="AN42" s="10">
        <v>300</v>
      </c>
      <c r="AO42" s="10">
        <v>300</v>
      </c>
      <c r="AP42" s="10">
        <v>300</v>
      </c>
      <c r="AR42" s="10">
        <v>300</v>
      </c>
      <c r="AS42" s="10">
        <v>300</v>
      </c>
      <c r="AT42" s="10">
        <v>300</v>
      </c>
    </row>
    <row r="43" spans="1:46" s="23" customFormat="1" ht="24.95" customHeight="1">
      <c r="B43" s="34" t="s">
        <v>130</v>
      </c>
      <c r="C43" s="35">
        <f t="shared" si="7"/>
        <v>31457.211819628668</v>
      </c>
      <c r="D43" s="36">
        <f>D44</f>
        <v>0</v>
      </c>
      <c r="E43" s="36">
        <f>E44</f>
        <v>0</v>
      </c>
      <c r="F43" s="36">
        <f>F44</f>
        <v>0</v>
      </c>
      <c r="G43" s="36">
        <f>G44+G45</f>
        <v>177.2835071616953</v>
      </c>
      <c r="H43" s="36">
        <f>H44+H45</f>
        <v>34.353098634574515</v>
      </c>
      <c r="I43" s="36">
        <f t="shared" ref="I43:AL43" si="10">I44+I45</f>
        <v>120.20703301452086</v>
      </c>
      <c r="J43" s="36">
        <f t="shared" si="10"/>
        <v>652.98667391136951</v>
      </c>
      <c r="K43" s="36">
        <f t="shared" si="10"/>
        <v>1003.0068002534191</v>
      </c>
      <c r="L43" s="36">
        <f t="shared" si="10"/>
        <v>1192.0338393047221</v>
      </c>
      <c r="M43" s="36">
        <f t="shared" si="10"/>
        <v>1047.1305512858844</v>
      </c>
      <c r="N43" s="36">
        <f t="shared" si="10"/>
        <v>807.3888863214562</v>
      </c>
      <c r="O43" s="36">
        <f t="shared" si="10"/>
        <v>587.27278727656676</v>
      </c>
      <c r="P43" s="36">
        <f t="shared" si="10"/>
        <v>805.42256776777288</v>
      </c>
      <c r="Q43" s="36">
        <f t="shared" si="10"/>
        <v>1137.733003395304</v>
      </c>
      <c r="R43" s="36">
        <f t="shared" si="10"/>
        <v>1137.733003395304</v>
      </c>
      <c r="S43" s="36">
        <f t="shared" si="10"/>
        <v>1137.733003395304</v>
      </c>
      <c r="T43" s="36">
        <f t="shared" si="10"/>
        <v>1137.733003395304</v>
      </c>
      <c r="U43" s="36">
        <f t="shared" si="10"/>
        <v>1137.733003395304</v>
      </c>
      <c r="V43" s="36">
        <f t="shared" si="10"/>
        <v>1137.733003395304</v>
      </c>
      <c r="W43" s="36">
        <f t="shared" si="10"/>
        <v>1137.733003395304</v>
      </c>
      <c r="X43" s="36">
        <f t="shared" si="10"/>
        <v>1137.733003395304</v>
      </c>
      <c r="Y43" s="36">
        <f t="shared" si="10"/>
        <v>1137.733003395304</v>
      </c>
      <c r="Z43" s="36">
        <f t="shared" si="10"/>
        <v>1137.733003395304</v>
      </c>
      <c r="AA43" s="36">
        <f t="shared" si="10"/>
        <v>1137.733003395304</v>
      </c>
      <c r="AB43" s="36">
        <f t="shared" si="10"/>
        <v>1137.733003395304</v>
      </c>
      <c r="AC43" s="36">
        <f t="shared" si="10"/>
        <v>1137.733003395304</v>
      </c>
      <c r="AD43" s="36">
        <f t="shared" si="10"/>
        <v>1137.733003395304</v>
      </c>
      <c r="AE43" s="36">
        <f t="shared" si="10"/>
        <v>1137.733003395304</v>
      </c>
      <c r="AF43" s="36">
        <f t="shared" si="10"/>
        <v>1137.733003395304</v>
      </c>
      <c r="AG43" s="36">
        <f t="shared" si="10"/>
        <v>1137.733003395304</v>
      </c>
      <c r="AH43" s="36">
        <f t="shared" si="10"/>
        <v>1137.733003395304</v>
      </c>
      <c r="AI43" s="36">
        <f t="shared" si="10"/>
        <v>1137.733003395304</v>
      </c>
      <c r="AJ43" s="36">
        <f t="shared" si="10"/>
        <v>1137.733003395304</v>
      </c>
      <c r="AK43" s="36">
        <f t="shared" si="10"/>
        <v>1137.733003395304</v>
      </c>
      <c r="AL43" s="36">
        <f t="shared" si="10"/>
        <v>1137.733003395304</v>
      </c>
      <c r="AN43" s="36">
        <f>AN44</f>
        <v>0</v>
      </c>
      <c r="AO43" s="36">
        <f>AO44</f>
        <v>180</v>
      </c>
      <c r="AP43" s="36">
        <f>AP44</f>
        <v>180</v>
      </c>
      <c r="AR43" s="36">
        <f>AR44</f>
        <v>0</v>
      </c>
      <c r="AS43" s="36">
        <f>AS44</f>
        <v>0</v>
      </c>
      <c r="AT43" s="36">
        <f>AT44</f>
        <v>0</v>
      </c>
    </row>
    <row r="44" spans="1:46" ht="18" customHeight="1">
      <c r="B44" s="30" t="s">
        <v>250</v>
      </c>
      <c r="C44" s="63">
        <f t="shared" si="7"/>
        <v>4753.9311480695969</v>
      </c>
      <c r="D44" s="141">
        <v>0</v>
      </c>
      <c r="E44" s="141">
        <v>0</v>
      </c>
      <c r="F44" s="141">
        <v>0</v>
      </c>
      <c r="G44" s="461">
        <f>IF('Painel de Controle'!$H$43="Pleito 3",'8.1 Verba para PMRV'!F28,'8.1 Verba para PMRV'!F29)</f>
        <v>177.2835071616953</v>
      </c>
      <c r="H44" s="461">
        <f>IF('Painel de Controle'!$H$43="Pleito 3",'8.1 Verba para PMRV'!G28,'8.1 Verba para PMRV'!G29)</f>
        <v>34.353098634574515</v>
      </c>
      <c r="I44" s="461">
        <f>IF('Painel de Controle'!$H$43="Pleito 3",'8.1 Verba para PMRV'!H28,'8.1 Verba para PMRV'!H29)</f>
        <v>120.20703301452086</v>
      </c>
      <c r="J44" s="461">
        <f>IF('Painel de Controle'!$H$43="Pleito 3",'8.1 Verba para PMRV'!I28,'8.1 Verba para PMRV'!I29)</f>
        <v>0</v>
      </c>
      <c r="K44" s="461">
        <f>IF('Painel de Controle'!$H$43="Pleito 3",'8.1 Verba para PMRV'!J28,'8.1 Verba para PMRV'!J29)</f>
        <v>0</v>
      </c>
      <c r="L44" s="461">
        <f>IF('Painel de Controle'!$H$43="Pleito 3",'8.1 Verba para PMRV'!K28,'8.1 Verba para PMRV'!K29+180)</f>
        <v>102.08750925880649</v>
      </c>
      <c r="M44" s="461">
        <f>IF('Painel de Controle'!$H$43="Pleito 3",'8.1 Verba para PMRV'!L28,'8.1 Verba para PMRV'!L29)</f>
        <v>0</v>
      </c>
      <c r="N44" s="461">
        <f>IF('Painel de Controle'!$H$43="Pleito 3",'8.1 Verba para PMRV'!M28,'8.1 Verba para PMRV'!M29)</f>
        <v>0</v>
      </c>
      <c r="O44" s="140">
        <v>180</v>
      </c>
      <c r="P44" s="140">
        <v>180</v>
      </c>
      <c r="Q44" s="140">
        <v>180</v>
      </c>
      <c r="R44" s="140">
        <v>180</v>
      </c>
      <c r="S44" s="140">
        <v>180</v>
      </c>
      <c r="T44" s="140">
        <v>180</v>
      </c>
      <c r="U44" s="140">
        <v>180</v>
      </c>
      <c r="V44" s="140">
        <v>180</v>
      </c>
      <c r="W44" s="140">
        <v>180</v>
      </c>
      <c r="X44" s="140">
        <v>180</v>
      </c>
      <c r="Y44" s="140">
        <v>180</v>
      </c>
      <c r="Z44" s="140">
        <v>180</v>
      </c>
      <c r="AA44" s="140">
        <v>180</v>
      </c>
      <c r="AB44" s="140">
        <v>180</v>
      </c>
      <c r="AC44" s="140">
        <v>180</v>
      </c>
      <c r="AD44" s="140">
        <v>180</v>
      </c>
      <c r="AE44" s="140">
        <v>180</v>
      </c>
      <c r="AF44" s="140">
        <v>180</v>
      </c>
      <c r="AG44" s="140">
        <v>180</v>
      </c>
      <c r="AH44" s="140">
        <v>180</v>
      </c>
      <c r="AI44" s="140">
        <v>180</v>
      </c>
      <c r="AJ44" s="140">
        <v>180</v>
      </c>
      <c r="AK44" s="140">
        <v>180</v>
      </c>
      <c r="AL44" s="140">
        <v>180</v>
      </c>
      <c r="AN44" s="299"/>
      <c r="AO44" s="140">
        <v>180</v>
      </c>
      <c r="AP44" s="140">
        <v>180</v>
      </c>
      <c r="AR44" s="263">
        <v>0</v>
      </c>
      <c r="AS44" s="262">
        <v>0</v>
      </c>
      <c r="AT44" s="262">
        <v>0</v>
      </c>
    </row>
    <row r="45" spans="1:46" s="274" customFormat="1" ht="18" customHeight="1">
      <c r="B45" s="32" t="s">
        <v>606</v>
      </c>
      <c r="C45" s="63">
        <f t="shared" si="7"/>
        <v>26704.28067155907</v>
      </c>
      <c r="D45" s="423">
        <f>IF('Painel de Controle'!$H$55="Sim",'Exclusões de M&amp;E'!F74,IF('Painel de Controle'!$D$33="sim",'Exclusões de M&amp;E'!F62,'Exclusões de M&amp;E'!F61))</f>
        <v>1</v>
      </c>
      <c r="E45" s="423">
        <f>IF('Painel de Controle'!$H$55="Sim",'Exclusões de M&amp;E'!G74,IF('Painel de Controle'!$D$33="sim",'Exclusões de M&amp;E'!G62,'Exclusões de M&amp;E'!G61))</f>
        <v>0</v>
      </c>
      <c r="F45" s="423">
        <f>IF('Painel de Controle'!$H$55="Sim",'Exclusões de M&amp;E'!H74,IF('Painel de Controle'!$D$33="sim",'Exclusões de M&amp;E'!H62,'Exclusões de M&amp;E'!H61))</f>
        <v>0</v>
      </c>
      <c r="G45" s="423">
        <f>IF('Painel de Controle'!$H$55="Sim",'Exclusões de M&amp;E'!I74,IF('Painel de Controle'!$D$33="sim",'Exclusões de M&amp;E'!I62,'Exclusões de M&amp;E'!I61)+IF('Painel de Controle'!$D$41="Sim",'Exclusões de M&amp;E'!I71,'Exclusões de M&amp;E'!I70))</f>
        <v>0</v>
      </c>
      <c r="H45" s="423">
        <f>IF('Painel de Controle'!$H$55="Sim",'Exclusões de M&amp;E'!J74,IF('Painel de Controle'!$D$33="sim",'Exclusões de M&amp;E'!J62,'Exclusões de M&amp;E'!J61)+IF('Painel de Controle'!$D$41="Sim",'Exclusões de M&amp;E'!J71,'Exclusões de M&amp;E'!J70))</f>
        <v>0</v>
      </c>
      <c r="I45" s="423">
        <f>IF('Painel de Controle'!$H$55="Sim",'Exclusões de M&amp;E'!K74,IF('Painel de Controle'!$D$33="sim",'Exclusões de M&amp;E'!K62,'Exclusões de M&amp;E'!K61)+IF('Painel de Controle'!$D$41="Sim",'Exclusões de M&amp;E'!K71,'Exclusões de M&amp;E'!K70))</f>
        <v>0</v>
      </c>
      <c r="J45" s="423">
        <f>IF('Painel de Controle'!$H$55="Sim",'Exclusões de M&amp;E'!L74,IF('Painel de Controle'!$D$33="sim",'Exclusões de M&amp;E'!L62,'Exclusões de M&amp;E'!L61)+IF('Painel de Controle'!$D$41="Sim",'Exclusões de M&amp;E'!L71,'Exclusões de M&amp;E'!L70))</f>
        <v>652.98667391136951</v>
      </c>
      <c r="K45" s="423">
        <f>IF('Painel de Controle'!$H$55="Sim",'Exclusões de M&amp;E'!M74,IF('Painel de Controle'!$D$33="sim",'Exclusões de M&amp;E'!M62,'Exclusões de M&amp;E'!M61)+IF('Painel de Controle'!$D$41="Sim",'Exclusões de M&amp;E'!M71,'Exclusões de M&amp;E'!M70))</f>
        <v>1003.0068002534191</v>
      </c>
      <c r="L45" s="423">
        <f>IF('Painel de Controle'!$H$55="Sim",'Exclusões de M&amp;E'!N74,IF('Painel de Controle'!$D$33="sim",'Exclusões de M&amp;E'!N62,'Exclusões de M&amp;E'!N61)+IF('Painel de Controle'!$D$41="Sim",'Exclusões de M&amp;E'!N71,'Exclusões de M&amp;E'!N70)-IF('Painel de Controle'!H52="Sim",'Postergações VI e RE'!P22,0))</f>
        <v>1089.9463300459156</v>
      </c>
      <c r="M45" s="423">
        <f>IF('Painel de Controle'!$H$55="Sim",'Exclusões de M&amp;E'!O74,IF('Painel de Controle'!$D$33="sim",'Exclusões de M&amp;E'!O62,'Exclusões de M&amp;E'!O61)+IF('Painel de Controle'!$D$41="Sim",'Exclusões de M&amp;E'!O71,'Exclusões de M&amp;E'!O70)+IF('Painel de Controle'!H52="Sim",'Postergações VI e RE'!P22,0))</f>
        <v>1047.1305512858844</v>
      </c>
      <c r="N45" s="423">
        <f>IF('Painel de Controle'!$H$55="Sim",'Exclusões de M&amp;E'!P74,IF('Painel de Controle'!$D$33="sim",'Exclusões de M&amp;E'!P62,'Exclusões de M&amp;E'!P61)+IF('Painel de Controle'!$D$41="Sim",'Exclusões de M&amp;E'!P71,'Exclusões de M&amp;E'!P70))</f>
        <v>807.3888863214562</v>
      </c>
      <c r="O45" s="423">
        <f>IF('Painel de Controle'!$H$55="Sim",'Exclusões de M&amp;E'!Q74,IF('Painel de Controle'!$D$33="sim",'Exclusões de M&amp;E'!Q62,'Exclusões de M&amp;E'!Q61)+IF('Painel de Controle'!$D$41="Sim",'Exclusões de M&amp;E'!Q71,'Exclusões de M&amp;E'!Q70))</f>
        <v>407.2727872765667</v>
      </c>
      <c r="P45" s="423">
        <f>IF('Painel de Controle'!$H$55="Sim",'Exclusões de M&amp;E'!R74,IF('Painel de Controle'!$D$33="sim",'Exclusões de M&amp;E'!R62,'Exclusões de M&amp;E'!R61)+IF('Painel de Controle'!$D$41="Sim",'Exclusões de M&amp;E'!R71,'Exclusões de M&amp;E'!R70))</f>
        <v>625.42256776777288</v>
      </c>
      <c r="Q45" s="423">
        <f>IF('Painel de Controle'!$H$55="Sim",'Exclusões de M&amp;E'!S74,IF('Painel de Controle'!$D$33="sim",'Exclusões de M&amp;E'!S62,'Exclusões de M&amp;E'!S61)+IF('Painel de Controle'!$D$41="Sim",'Exclusões de M&amp;E'!S71,'Exclusões de M&amp;E'!S70))</f>
        <v>957.73300339530397</v>
      </c>
      <c r="R45" s="423">
        <f>IF('Painel de Controle'!$H$55="Sim",'Exclusões de M&amp;E'!T74,IF('Painel de Controle'!$D$33="sim",'Exclusões de M&amp;E'!T62,'Exclusões de M&amp;E'!T61)+IF('Painel de Controle'!$D$41="Sim",'Exclusões de M&amp;E'!T71,'Exclusões de M&amp;E'!T70))</f>
        <v>957.73300339530397</v>
      </c>
      <c r="S45" s="423">
        <f>IF('Painel de Controle'!$H$55="Sim",'Exclusões de M&amp;E'!U74,IF('Painel de Controle'!$D$33="sim",'Exclusões de M&amp;E'!U62,'Exclusões de M&amp;E'!U61)+IF('Painel de Controle'!$D$41="Sim",'Exclusões de M&amp;E'!U71,'Exclusões de M&amp;E'!U70))</f>
        <v>957.73300339530397</v>
      </c>
      <c r="T45" s="423">
        <f>IF('Painel de Controle'!$H$55="Sim",'Exclusões de M&amp;E'!V74,IF('Painel de Controle'!$D$33="sim",'Exclusões de M&amp;E'!V62,'Exclusões de M&amp;E'!V61)+IF('Painel de Controle'!$D$41="Sim",'Exclusões de M&amp;E'!V71,'Exclusões de M&amp;E'!V70))</f>
        <v>957.73300339530397</v>
      </c>
      <c r="U45" s="423">
        <f>IF('Painel de Controle'!$H$55="Sim",'Exclusões de M&amp;E'!W74,IF('Painel de Controle'!$D$33="sim",'Exclusões de M&amp;E'!W62,'Exclusões de M&amp;E'!W61)+IF('Painel de Controle'!$D$41="Sim",'Exclusões de M&amp;E'!W71,'Exclusões de M&amp;E'!W70))</f>
        <v>957.73300339530397</v>
      </c>
      <c r="V45" s="423">
        <f>IF('Painel de Controle'!$H$55="Sim",'Exclusões de M&amp;E'!X74,IF('Painel de Controle'!$D$33="sim",'Exclusões de M&amp;E'!X62,'Exclusões de M&amp;E'!X61)+IF('Painel de Controle'!$D$41="Sim",'Exclusões de M&amp;E'!X71,'Exclusões de M&amp;E'!X70))</f>
        <v>957.73300339530397</v>
      </c>
      <c r="W45" s="423">
        <f>IF('Painel de Controle'!$H$55="Sim",'Exclusões de M&amp;E'!Y74,IF('Painel de Controle'!$D$33="sim",'Exclusões de M&amp;E'!Y62,'Exclusões de M&amp;E'!Y61)+IF('Painel de Controle'!$D$41="Sim",'Exclusões de M&amp;E'!Y71,'Exclusões de M&amp;E'!Y70))</f>
        <v>957.73300339530397</v>
      </c>
      <c r="X45" s="423">
        <f>IF('Painel de Controle'!$H$55="Sim",'Exclusões de M&amp;E'!Z74,IF('Painel de Controle'!$D$33="sim",'Exclusões de M&amp;E'!Z62,'Exclusões de M&amp;E'!Z61)+IF('Painel de Controle'!$D$41="Sim",'Exclusões de M&amp;E'!Z71,'Exclusões de M&amp;E'!Z70))</f>
        <v>957.73300339530397</v>
      </c>
      <c r="Y45" s="423">
        <f>IF('Painel de Controle'!$H$55="Sim",'Exclusões de M&amp;E'!AA74,IF('Painel de Controle'!$D$33="sim",'Exclusões de M&amp;E'!AA62,'Exclusões de M&amp;E'!AA61)+IF('Painel de Controle'!$D$41="Sim",'Exclusões de M&amp;E'!AA71,'Exclusões de M&amp;E'!AA70))</f>
        <v>957.73300339530397</v>
      </c>
      <c r="Z45" s="423">
        <f>IF('Painel de Controle'!$H$55="Sim",'Exclusões de M&amp;E'!AB74,IF('Painel de Controle'!$D$33="sim",'Exclusões de M&amp;E'!AB62,'Exclusões de M&amp;E'!AB61)+IF('Painel de Controle'!$D$41="Sim",'Exclusões de M&amp;E'!AB71,'Exclusões de M&amp;E'!AB70))</f>
        <v>957.73300339530397</v>
      </c>
      <c r="AA45" s="423">
        <f>IF('Painel de Controle'!$H$55="Sim",'Exclusões de M&amp;E'!AC74,IF('Painel de Controle'!$D$33="sim",'Exclusões de M&amp;E'!AC62,'Exclusões de M&amp;E'!AC61)+IF('Painel de Controle'!$D$41="Sim",'Exclusões de M&amp;E'!AC71,'Exclusões de M&amp;E'!AC70))</f>
        <v>957.73300339530397</v>
      </c>
      <c r="AB45" s="423">
        <f>IF('Painel de Controle'!$H$55="Sim",'Exclusões de M&amp;E'!AD74,IF('Painel de Controle'!$D$33="sim",'Exclusões de M&amp;E'!AD62,'Exclusões de M&amp;E'!AD61)+IF('Painel de Controle'!$D$41="Sim",'Exclusões de M&amp;E'!AD71,'Exclusões de M&amp;E'!AD70))</f>
        <v>957.73300339530397</v>
      </c>
      <c r="AC45" s="423">
        <f>IF('Painel de Controle'!$H$55="Sim",'Exclusões de M&amp;E'!AE74,IF('Painel de Controle'!$D$33="sim",'Exclusões de M&amp;E'!AE62,'Exclusões de M&amp;E'!AE61)+IF('Painel de Controle'!$D$41="Sim",'Exclusões de M&amp;E'!AE71,'Exclusões de M&amp;E'!AE70))</f>
        <v>957.73300339530397</v>
      </c>
      <c r="AD45" s="423">
        <f>IF('Painel de Controle'!$H$55="Sim",'Exclusões de M&amp;E'!AF74,IF('Painel de Controle'!$D$33="sim",'Exclusões de M&amp;E'!AF62,'Exclusões de M&amp;E'!AF61)+IF('Painel de Controle'!$D$41="Sim",'Exclusões de M&amp;E'!AF71,'Exclusões de M&amp;E'!AF70))</f>
        <v>957.73300339530397</v>
      </c>
      <c r="AE45" s="423">
        <f>IF('Painel de Controle'!$H$55="Sim",'Exclusões de M&amp;E'!AG74,IF('Painel de Controle'!$D$33="sim",'Exclusões de M&amp;E'!AG62,'Exclusões de M&amp;E'!AG61)+IF('Painel de Controle'!$D$41="Sim",'Exclusões de M&amp;E'!AG71,'Exclusões de M&amp;E'!AG70))</f>
        <v>957.73300339530397</v>
      </c>
      <c r="AF45" s="423">
        <f>IF('Painel de Controle'!$H$55="Sim",'Exclusões de M&amp;E'!AH74,IF('Painel de Controle'!$D$33="sim",'Exclusões de M&amp;E'!AH62,'Exclusões de M&amp;E'!AH61)+IF('Painel de Controle'!$D$41="Sim",'Exclusões de M&amp;E'!AH71,'Exclusões de M&amp;E'!AH70))</f>
        <v>957.73300339530397</v>
      </c>
      <c r="AG45" s="423">
        <f>IF('Painel de Controle'!$H$55="Sim",'Exclusões de M&amp;E'!AI74,IF('Painel de Controle'!$D$33="sim",'Exclusões de M&amp;E'!AI62,'Exclusões de M&amp;E'!AI61)+IF('Painel de Controle'!$D$41="Sim",'Exclusões de M&amp;E'!AI71,'Exclusões de M&amp;E'!AI70))</f>
        <v>957.73300339530397</v>
      </c>
      <c r="AH45" s="423">
        <f>IF('Painel de Controle'!$H$55="Sim",'Exclusões de M&amp;E'!AJ74,IF('Painel de Controle'!$D$33="sim",'Exclusões de M&amp;E'!AJ62,'Exclusões de M&amp;E'!AJ61)+IF('Painel de Controle'!$D$41="Sim",'Exclusões de M&amp;E'!AJ71,'Exclusões de M&amp;E'!AJ70))</f>
        <v>957.73300339530397</v>
      </c>
      <c r="AI45" s="423">
        <f>IF('Painel de Controle'!$H$55="Sim",'Exclusões de M&amp;E'!AK74,IF('Painel de Controle'!$D$33="sim",'Exclusões de M&amp;E'!AK62,'Exclusões de M&amp;E'!AK61)+IF('Painel de Controle'!$D$41="Sim",'Exclusões de M&amp;E'!AK71,'Exclusões de M&amp;E'!AK70))</f>
        <v>957.73300339530397</v>
      </c>
      <c r="AJ45" s="423">
        <f>IF('Painel de Controle'!$H$55="Sim",'Exclusões de M&amp;E'!AL74,IF('Painel de Controle'!$D$33="sim",'Exclusões de M&amp;E'!AL62,'Exclusões de M&amp;E'!AL61)+IF('Painel de Controle'!$D$41="Sim",'Exclusões de M&amp;E'!AL71,'Exclusões de M&amp;E'!AL70))</f>
        <v>957.73300339530397</v>
      </c>
      <c r="AK45" s="423">
        <f>IF('Painel de Controle'!$H$55="Sim",'Exclusões de M&amp;E'!AM74,IF('Painel de Controle'!$D$33="sim",'Exclusões de M&amp;E'!AM62,'Exclusões de M&amp;E'!AM61)+IF('Painel de Controle'!$D$41="Sim",'Exclusões de M&amp;E'!AM71,'Exclusões de M&amp;E'!AM70))</f>
        <v>957.73300339530397</v>
      </c>
      <c r="AL45" s="423">
        <f>IF('Painel de Controle'!$H$55="Sim",'Exclusões de M&amp;E'!AN74,IF('Painel de Controle'!$D$33="sim",'Exclusões de M&amp;E'!AN62,'Exclusões de M&amp;E'!AN61)+IF('Painel de Controle'!$D$41="Sim",'Exclusões de M&amp;E'!AN71,'Exclusões de M&amp;E'!AN70))</f>
        <v>957.73300339530397</v>
      </c>
      <c r="AN45" s="299"/>
      <c r="AO45" s="140"/>
      <c r="AP45" s="140"/>
      <c r="AQ45"/>
      <c r="AR45" s="299"/>
      <c r="AS45" s="140"/>
      <c r="AT45" s="140"/>
    </row>
    <row r="46" spans="1:46" s="23" customFormat="1" ht="24.95" customHeight="1">
      <c r="B46" s="34" t="s">
        <v>392</v>
      </c>
      <c r="C46" s="35">
        <f>SUM(D46:AL46)</f>
        <v>165139.86915065369</v>
      </c>
      <c r="D46" s="36">
        <f>SUM(D47:D57)</f>
        <v>0</v>
      </c>
      <c r="E46" s="36">
        <f t="shared" ref="E46:AL46" si="11">SUM(E47:E57)</f>
        <v>0</v>
      </c>
      <c r="F46" s="36">
        <f t="shared" si="11"/>
        <v>3600.1264207519321</v>
      </c>
      <c r="G46" s="36">
        <f t="shared" si="11"/>
        <v>4315.3909324370561</v>
      </c>
      <c r="H46" s="36">
        <f t="shared" si="11"/>
        <v>4968.0138460749204</v>
      </c>
      <c r="I46" s="36">
        <f t="shared" si="11"/>
        <v>5190.5236743948781</v>
      </c>
      <c r="J46" s="36">
        <f t="shared" si="11"/>
        <v>5868.6725380312464</v>
      </c>
      <c r="K46" s="36">
        <f t="shared" si="11"/>
        <v>6546.8214016676047</v>
      </c>
      <c r="L46" s="36">
        <f t="shared" si="11"/>
        <v>5508.0611743948775</v>
      </c>
      <c r="M46" s="36">
        <f t="shared" si="11"/>
        <v>5533.9780474625568</v>
      </c>
      <c r="N46" s="36">
        <f t="shared" si="11"/>
        <v>3156.0770834857881</v>
      </c>
      <c r="O46" s="36">
        <f t="shared" si="11"/>
        <v>3834.225947122151</v>
      </c>
      <c r="P46" s="36">
        <f t="shared" si="11"/>
        <v>4512.3748107585152</v>
      </c>
      <c r="Q46" s="36">
        <f t="shared" si="11"/>
        <v>5190.5236743948781</v>
      </c>
      <c r="R46" s="36">
        <f t="shared" si="11"/>
        <v>5868.6725380312419</v>
      </c>
      <c r="S46" s="36">
        <f t="shared" si="11"/>
        <v>6546.8214016676047</v>
      </c>
      <c r="T46" s="36">
        <f t="shared" si="11"/>
        <v>5508.0611743948775</v>
      </c>
      <c r="U46" s="36">
        <f t="shared" si="11"/>
        <v>5533.9780474625568</v>
      </c>
      <c r="V46" s="36">
        <f t="shared" si="11"/>
        <v>3156.0770834857881</v>
      </c>
      <c r="W46" s="36">
        <f t="shared" si="11"/>
        <v>3834.225947122151</v>
      </c>
      <c r="X46" s="36">
        <f t="shared" si="11"/>
        <v>4512.3748107585152</v>
      </c>
      <c r="Y46" s="36">
        <f t="shared" si="11"/>
        <v>5190.5236743948781</v>
      </c>
      <c r="Z46" s="36">
        <f t="shared" si="11"/>
        <v>5868.6725380312419</v>
      </c>
      <c r="AA46" s="36">
        <f t="shared" si="11"/>
        <v>6546.8214016676047</v>
      </c>
      <c r="AB46" s="36">
        <f t="shared" si="11"/>
        <v>5508.0611743948775</v>
      </c>
      <c r="AC46" s="36">
        <f t="shared" si="11"/>
        <v>5533.9780474625568</v>
      </c>
      <c r="AD46" s="36">
        <f t="shared" si="11"/>
        <v>3156.0770834857881</v>
      </c>
      <c r="AE46" s="36">
        <f t="shared" si="11"/>
        <v>3834.225947122151</v>
      </c>
      <c r="AF46" s="36">
        <f t="shared" si="11"/>
        <v>4512.3748107585152</v>
      </c>
      <c r="AG46" s="36">
        <f t="shared" si="11"/>
        <v>5190.5236743948781</v>
      </c>
      <c r="AH46" s="36">
        <f t="shared" si="11"/>
        <v>5868.6725380312419</v>
      </c>
      <c r="AI46" s="36">
        <f t="shared" si="11"/>
        <v>6546.8214016676047</v>
      </c>
      <c r="AJ46" s="36">
        <f t="shared" si="11"/>
        <v>5508.0611743948775</v>
      </c>
      <c r="AK46" s="36">
        <f t="shared" si="11"/>
        <v>5533.9780474625568</v>
      </c>
      <c r="AL46" s="36">
        <f t="shared" si="11"/>
        <v>3156.0770834857881</v>
      </c>
      <c r="AN46" s="36">
        <f>SUM(AN47:AN56)</f>
        <v>0</v>
      </c>
      <c r="AO46" s="36">
        <f>SUM(AO47:AO56)</f>
        <v>0</v>
      </c>
      <c r="AP46" s="36">
        <f>SUM(AP47:AP56)</f>
        <v>3600.1264207519321</v>
      </c>
      <c r="AR46" s="36">
        <f>SUM(AR47:AR56)</f>
        <v>0</v>
      </c>
      <c r="AS46" s="36">
        <f>SUM(AS47:AS56)</f>
        <v>0</v>
      </c>
      <c r="AT46" s="36">
        <f>SUM(AT47:AT56)</f>
        <v>3600.1264207519321</v>
      </c>
    </row>
    <row r="47" spans="1:46" ht="18" customHeight="1">
      <c r="B47" s="32" t="s">
        <v>382</v>
      </c>
      <c r="C47" s="63">
        <f>SUM(D47:AL47)</f>
        <v>114986.17994260107</v>
      </c>
      <c r="D47" s="10">
        <v>0</v>
      </c>
      <c r="E47" s="10">
        <v>0</v>
      </c>
      <c r="F47" s="10">
        <v>2488.711780178613</v>
      </c>
      <c r="G47" s="10">
        <v>2890.666352508159</v>
      </c>
      <c r="H47" s="10">
        <v>3478.7231396104307</v>
      </c>
      <c r="I47" s="10">
        <v>3641.3837907571583</v>
      </c>
      <c r="J47" s="10">
        <f>4251.71776802989</f>
        <v>4251.7177680298901</v>
      </c>
      <c r="K47" s="10">
        <v>4862.0517453026123</v>
      </c>
      <c r="L47" s="10">
        <v>3927.1675407571579</v>
      </c>
      <c r="M47" s="10">
        <v>3950.492726518069</v>
      </c>
      <c r="N47" s="10">
        <v>1810.3818589389766</v>
      </c>
      <c r="O47" s="10">
        <v>2420.7158362117034</v>
      </c>
      <c r="P47" s="10">
        <v>3031.0498134844311</v>
      </c>
      <c r="Q47" s="10">
        <v>3641.3837907571583</v>
      </c>
      <c r="R47" s="10">
        <v>4251.7177680298855</v>
      </c>
      <c r="S47" s="10">
        <v>4862.0517453026123</v>
      </c>
      <c r="T47" s="10">
        <v>3927.1675407571579</v>
      </c>
      <c r="U47" s="10">
        <v>3950.492726518069</v>
      </c>
      <c r="V47" s="10">
        <v>1810.3818589389766</v>
      </c>
      <c r="W47" s="10">
        <v>2420.7158362117034</v>
      </c>
      <c r="X47" s="10">
        <v>3031.0498134844311</v>
      </c>
      <c r="Y47" s="10">
        <v>3641.3837907571583</v>
      </c>
      <c r="Z47" s="10">
        <v>4251.7177680298855</v>
      </c>
      <c r="AA47" s="10">
        <v>4862.0517453026123</v>
      </c>
      <c r="AB47" s="10">
        <v>3927.1675407571579</v>
      </c>
      <c r="AC47" s="10">
        <v>3950.492726518069</v>
      </c>
      <c r="AD47" s="10">
        <v>1810.3818589389766</v>
      </c>
      <c r="AE47" s="10">
        <v>2420.7158362117034</v>
      </c>
      <c r="AF47" s="10">
        <v>3031.0498134844311</v>
      </c>
      <c r="AG47" s="10">
        <v>3641.3837907571583</v>
      </c>
      <c r="AH47" s="10">
        <v>4251.7177680298855</v>
      </c>
      <c r="AI47" s="10">
        <v>4862.0517453026123</v>
      </c>
      <c r="AJ47" s="10">
        <v>3927.1675407571579</v>
      </c>
      <c r="AK47" s="10">
        <v>3950.492726518069</v>
      </c>
      <c r="AL47" s="10">
        <v>1810.3818589389766</v>
      </c>
      <c r="AN47" s="10">
        <v>0</v>
      </c>
      <c r="AO47" s="10">
        <v>0</v>
      </c>
      <c r="AP47" s="10">
        <v>2488.711780178613</v>
      </c>
      <c r="AR47" s="10">
        <v>0</v>
      </c>
      <c r="AS47" s="10">
        <v>0</v>
      </c>
      <c r="AT47" s="10">
        <v>2488.711780178613</v>
      </c>
    </row>
    <row r="48" spans="1:46" ht="18" customHeight="1">
      <c r="B48" s="32" t="s">
        <v>383</v>
      </c>
      <c r="C48" s="63">
        <f>SUM(D48:AL48)</f>
        <v>12776.242215844561</v>
      </c>
      <c r="D48" s="10">
        <v>0</v>
      </c>
      <c r="E48" s="10">
        <v>0</v>
      </c>
      <c r="F48" s="10">
        <v>276.523531130957</v>
      </c>
      <c r="G48" s="10">
        <v>321.18515027868432</v>
      </c>
      <c r="H48" s="10">
        <v>386.52479329004785</v>
      </c>
      <c r="I48" s="10">
        <v>404.59819897301759</v>
      </c>
      <c r="J48" s="10">
        <v>472.41308533665398</v>
      </c>
      <c r="K48" s="10">
        <v>540.22797170029025</v>
      </c>
      <c r="L48" s="10">
        <v>436.35194897301756</v>
      </c>
      <c r="M48" s="10">
        <v>438.94363627978549</v>
      </c>
      <c r="N48" s="10">
        <v>201.1535398821085</v>
      </c>
      <c r="O48" s="10">
        <v>268.96842624574487</v>
      </c>
      <c r="P48" s="10">
        <v>336.78331260938126</v>
      </c>
      <c r="Q48" s="10">
        <v>404.59819897301759</v>
      </c>
      <c r="R48" s="10">
        <v>472.41308533665398</v>
      </c>
      <c r="S48" s="10">
        <v>540.22797170029025</v>
      </c>
      <c r="T48" s="10">
        <v>436.35194897301756</v>
      </c>
      <c r="U48" s="10">
        <v>438.94363627978549</v>
      </c>
      <c r="V48" s="10">
        <v>201.1535398821085</v>
      </c>
      <c r="W48" s="10">
        <v>268.96842624574487</v>
      </c>
      <c r="X48" s="10">
        <v>336.78331260938126</v>
      </c>
      <c r="Y48" s="10">
        <v>404.59819897301759</v>
      </c>
      <c r="Z48" s="10">
        <v>472.41308533665398</v>
      </c>
      <c r="AA48" s="10">
        <v>540.22797170029025</v>
      </c>
      <c r="AB48" s="10">
        <v>436.35194897301756</v>
      </c>
      <c r="AC48" s="10">
        <v>438.94363627978549</v>
      </c>
      <c r="AD48" s="10">
        <v>201.1535398821085</v>
      </c>
      <c r="AE48" s="10">
        <v>268.96842624574487</v>
      </c>
      <c r="AF48" s="10">
        <v>336.78331260938126</v>
      </c>
      <c r="AG48" s="10">
        <v>404.59819897301759</v>
      </c>
      <c r="AH48" s="10">
        <v>472.41308533665398</v>
      </c>
      <c r="AI48" s="10">
        <v>540.22797170029025</v>
      </c>
      <c r="AJ48" s="10">
        <v>436.35194897301756</v>
      </c>
      <c r="AK48" s="10">
        <v>438.94363627978549</v>
      </c>
      <c r="AL48" s="10">
        <v>201.1535398821085</v>
      </c>
      <c r="AN48" s="10">
        <v>0</v>
      </c>
      <c r="AO48" s="10">
        <v>0</v>
      </c>
      <c r="AP48" s="10">
        <v>276.523531130957</v>
      </c>
      <c r="AR48" s="10">
        <v>0</v>
      </c>
      <c r="AS48" s="10">
        <v>0</v>
      </c>
      <c r="AT48" s="10">
        <v>276.523531130957</v>
      </c>
    </row>
    <row r="49" spans="2:46" ht="18" customHeight="1">
      <c r="B49" s="32" t="s">
        <v>384</v>
      </c>
      <c r="C49" s="63">
        <f t="shared" ref="C49:C57" si="12">SUM(D49:AL49)</f>
        <v>0</v>
      </c>
      <c r="D49" s="10">
        <v>0</v>
      </c>
      <c r="E49" s="10">
        <v>0</v>
      </c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0"/>
      <c r="AN49" s="10">
        <v>0</v>
      </c>
      <c r="AO49" s="10">
        <v>0</v>
      </c>
      <c r="AP49" s="10"/>
      <c r="AR49" s="10">
        <v>0</v>
      </c>
      <c r="AS49" s="10">
        <v>0</v>
      </c>
      <c r="AT49" s="10"/>
    </row>
    <row r="50" spans="2:46" ht="18" customHeight="1">
      <c r="B50" s="32" t="s">
        <v>385</v>
      </c>
      <c r="C50" s="63">
        <f t="shared" si="12"/>
        <v>13626.854791944967</v>
      </c>
      <c r="D50" s="10">
        <v>0</v>
      </c>
      <c r="E50" s="10">
        <v>0</v>
      </c>
      <c r="F50" s="10">
        <v>399.18744294063538</v>
      </c>
      <c r="G50" s="10">
        <v>399.18744294063538</v>
      </c>
      <c r="H50" s="10">
        <v>399.18744294063538</v>
      </c>
      <c r="I50" s="10">
        <v>414.30974877076841</v>
      </c>
      <c r="J50" s="10">
        <v>414.30974877076841</v>
      </c>
      <c r="K50" s="10">
        <v>414.30974877076841</v>
      </c>
      <c r="L50" s="10">
        <v>414.30974877076841</v>
      </c>
      <c r="M50" s="10">
        <v>414.30974877076841</v>
      </c>
      <c r="N50" s="10">
        <v>414.30974877076841</v>
      </c>
      <c r="O50" s="10">
        <v>414.30974877076841</v>
      </c>
      <c r="P50" s="10">
        <v>414.30974877076841</v>
      </c>
      <c r="Q50" s="10">
        <v>414.30974877076841</v>
      </c>
      <c r="R50" s="10">
        <v>414.30974877076841</v>
      </c>
      <c r="S50" s="10">
        <v>414.30974877076841</v>
      </c>
      <c r="T50" s="10">
        <v>414.30974877076841</v>
      </c>
      <c r="U50" s="10">
        <v>414.30974877076841</v>
      </c>
      <c r="V50" s="10">
        <v>414.30974877076841</v>
      </c>
      <c r="W50" s="10">
        <v>414.30974877076841</v>
      </c>
      <c r="X50" s="10">
        <v>414.30974877076841</v>
      </c>
      <c r="Y50" s="10">
        <v>414.30974877076841</v>
      </c>
      <c r="Z50" s="10">
        <v>414.30974877076841</v>
      </c>
      <c r="AA50" s="10">
        <v>414.30974877076841</v>
      </c>
      <c r="AB50" s="10">
        <v>414.30974877076841</v>
      </c>
      <c r="AC50" s="10">
        <v>414.30974877076841</v>
      </c>
      <c r="AD50" s="10">
        <v>414.30974877076841</v>
      </c>
      <c r="AE50" s="10">
        <v>414.30974877076841</v>
      </c>
      <c r="AF50" s="10">
        <v>414.30974877076841</v>
      </c>
      <c r="AG50" s="10">
        <v>414.30974877076841</v>
      </c>
      <c r="AH50" s="10">
        <v>414.30974877076841</v>
      </c>
      <c r="AI50" s="10">
        <v>414.30974877076841</v>
      </c>
      <c r="AJ50" s="10">
        <v>414.30974877076841</v>
      </c>
      <c r="AK50" s="10">
        <v>414.30974877076841</v>
      </c>
      <c r="AL50" s="10">
        <v>414.30974877076841</v>
      </c>
      <c r="AN50" s="10">
        <v>0</v>
      </c>
      <c r="AO50" s="10">
        <v>0</v>
      </c>
      <c r="AP50" s="10">
        <v>399.18744294063538</v>
      </c>
      <c r="AR50" s="10">
        <v>0</v>
      </c>
      <c r="AS50" s="10">
        <v>0</v>
      </c>
      <c r="AT50" s="10">
        <v>399.18744294063538</v>
      </c>
    </row>
    <row r="51" spans="2:46" ht="18" customHeight="1">
      <c r="B51" s="32" t="s">
        <v>386</v>
      </c>
      <c r="C51" s="63">
        <f t="shared" si="12"/>
        <v>2404.7390809314634</v>
      </c>
      <c r="D51" s="10">
        <v>0</v>
      </c>
      <c r="E51" s="10">
        <v>0</v>
      </c>
      <c r="F51" s="10">
        <v>70.44484287187683</v>
      </c>
      <c r="G51" s="10">
        <v>70.44484287187683</v>
      </c>
      <c r="H51" s="10">
        <v>70.44484287187683</v>
      </c>
      <c r="I51" s="10">
        <v>73.113485077194426</v>
      </c>
      <c r="J51" s="10">
        <v>73.113485077194426</v>
      </c>
      <c r="K51" s="10">
        <v>73.113485077194426</v>
      </c>
      <c r="L51" s="10">
        <v>73.113485077194426</v>
      </c>
      <c r="M51" s="10">
        <v>73.113485077194426</v>
      </c>
      <c r="N51" s="10">
        <v>73.113485077194426</v>
      </c>
      <c r="O51" s="10">
        <v>73.113485077194426</v>
      </c>
      <c r="P51" s="10">
        <v>73.113485077194426</v>
      </c>
      <c r="Q51" s="10">
        <v>73.113485077194426</v>
      </c>
      <c r="R51" s="10">
        <v>73.113485077194426</v>
      </c>
      <c r="S51" s="10">
        <v>73.113485077194426</v>
      </c>
      <c r="T51" s="10">
        <v>73.113485077194426</v>
      </c>
      <c r="U51" s="10">
        <v>73.113485077194426</v>
      </c>
      <c r="V51" s="10">
        <v>73.113485077194426</v>
      </c>
      <c r="W51" s="10">
        <v>73.113485077194426</v>
      </c>
      <c r="X51" s="10">
        <v>73.113485077194426</v>
      </c>
      <c r="Y51" s="10">
        <v>73.113485077194426</v>
      </c>
      <c r="Z51" s="10">
        <v>73.113485077194426</v>
      </c>
      <c r="AA51" s="10">
        <v>73.113485077194426</v>
      </c>
      <c r="AB51" s="10">
        <v>73.113485077194426</v>
      </c>
      <c r="AC51" s="10">
        <v>73.113485077194426</v>
      </c>
      <c r="AD51" s="10">
        <v>73.113485077194426</v>
      </c>
      <c r="AE51" s="10">
        <v>73.113485077194426</v>
      </c>
      <c r="AF51" s="10">
        <v>73.113485077194426</v>
      </c>
      <c r="AG51" s="10">
        <v>73.113485077194426</v>
      </c>
      <c r="AH51" s="10">
        <v>73.113485077194426</v>
      </c>
      <c r="AI51" s="10">
        <v>73.113485077194426</v>
      </c>
      <c r="AJ51" s="10">
        <v>73.113485077194426</v>
      </c>
      <c r="AK51" s="10">
        <v>73.113485077194426</v>
      </c>
      <c r="AL51" s="10">
        <v>73.113485077194426</v>
      </c>
      <c r="AN51" s="10">
        <v>0</v>
      </c>
      <c r="AO51" s="10">
        <v>0</v>
      </c>
      <c r="AP51" s="10">
        <v>70.44484287187683</v>
      </c>
      <c r="AR51" s="10">
        <v>0</v>
      </c>
      <c r="AS51" s="10">
        <v>0</v>
      </c>
      <c r="AT51" s="10">
        <v>70.44484287187683</v>
      </c>
    </row>
    <row r="52" spans="2:46" ht="18" customHeight="1">
      <c r="B52" s="32" t="s">
        <v>387</v>
      </c>
      <c r="C52" s="63">
        <f t="shared" si="12"/>
        <v>0</v>
      </c>
      <c r="D52" s="10">
        <v>0</v>
      </c>
      <c r="E52" s="10">
        <v>0</v>
      </c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10"/>
      <c r="AL52" s="10"/>
      <c r="AN52" s="10">
        <v>0</v>
      </c>
      <c r="AO52" s="10">
        <v>0</v>
      </c>
      <c r="AP52" s="10"/>
      <c r="AR52" s="10">
        <v>0</v>
      </c>
      <c r="AS52" s="10">
        <v>0</v>
      </c>
      <c r="AT52" s="10"/>
    </row>
    <row r="53" spans="2:46" ht="18" customHeight="1">
      <c r="B53" s="32" t="s">
        <v>388</v>
      </c>
      <c r="C53" s="63">
        <f t="shared" si="12"/>
        <v>7625.7896087780018</v>
      </c>
      <c r="D53" s="10">
        <v>0</v>
      </c>
      <c r="E53" s="10">
        <v>0</v>
      </c>
      <c r="F53" s="10">
        <v>113.3559345556</v>
      </c>
      <c r="G53" s="10">
        <v>226.7118691112</v>
      </c>
      <c r="H53" s="10">
        <v>226.7118691112</v>
      </c>
      <c r="I53" s="10">
        <v>235.30033119999999</v>
      </c>
      <c r="J53" s="10">
        <v>235.30033119999999</v>
      </c>
      <c r="K53" s="10">
        <v>235.30033119999999</v>
      </c>
      <c r="L53" s="10">
        <v>235.30033119999999</v>
      </c>
      <c r="M53" s="10">
        <v>235.30033119999999</v>
      </c>
      <c r="N53" s="10">
        <v>235.30033119999999</v>
      </c>
      <c r="O53" s="10">
        <v>235.30033119999999</v>
      </c>
      <c r="P53" s="10">
        <v>235.30033119999999</v>
      </c>
      <c r="Q53" s="10">
        <v>235.30033119999999</v>
      </c>
      <c r="R53" s="10">
        <v>235.30033119999999</v>
      </c>
      <c r="S53" s="10">
        <v>235.30033119999999</v>
      </c>
      <c r="T53" s="10">
        <v>235.30033119999999</v>
      </c>
      <c r="U53" s="10">
        <v>235.30033119999999</v>
      </c>
      <c r="V53" s="10">
        <v>235.30033119999999</v>
      </c>
      <c r="W53" s="10">
        <v>235.30033119999999</v>
      </c>
      <c r="X53" s="10">
        <v>235.30033119999999</v>
      </c>
      <c r="Y53" s="10">
        <v>235.30033119999999</v>
      </c>
      <c r="Z53" s="10">
        <v>235.30033119999999</v>
      </c>
      <c r="AA53" s="10">
        <v>235.30033119999999</v>
      </c>
      <c r="AB53" s="10">
        <v>235.30033119999999</v>
      </c>
      <c r="AC53" s="10">
        <v>235.30033119999999</v>
      </c>
      <c r="AD53" s="10">
        <v>235.30033119999999</v>
      </c>
      <c r="AE53" s="10">
        <v>235.30033119999999</v>
      </c>
      <c r="AF53" s="10">
        <v>235.30033119999999</v>
      </c>
      <c r="AG53" s="10">
        <v>235.30033119999999</v>
      </c>
      <c r="AH53" s="10">
        <v>235.30033119999999</v>
      </c>
      <c r="AI53" s="10">
        <v>235.30033119999999</v>
      </c>
      <c r="AJ53" s="10">
        <v>235.30033119999999</v>
      </c>
      <c r="AK53" s="10">
        <v>235.30033119999999</v>
      </c>
      <c r="AL53" s="10">
        <v>235.30033119999999</v>
      </c>
      <c r="AN53" s="10">
        <v>0</v>
      </c>
      <c r="AO53" s="10">
        <v>0</v>
      </c>
      <c r="AP53" s="10">
        <v>113.3559345556</v>
      </c>
      <c r="AR53" s="10">
        <v>0</v>
      </c>
      <c r="AS53" s="10">
        <v>0</v>
      </c>
      <c r="AT53" s="10">
        <v>113.3559345556</v>
      </c>
    </row>
    <row r="54" spans="2:46" ht="18" customHeight="1">
      <c r="B54" s="32" t="s">
        <v>389</v>
      </c>
      <c r="C54" s="63">
        <f t="shared" si="12"/>
        <v>11054.808534461248</v>
      </c>
      <c r="D54" s="10">
        <v>0</v>
      </c>
      <c r="E54" s="10">
        <v>0</v>
      </c>
      <c r="F54" s="10">
        <v>173.09825105225002</v>
      </c>
      <c r="G54" s="10">
        <v>328.39063670450003</v>
      </c>
      <c r="H54" s="10">
        <v>328.39063670450003</v>
      </c>
      <c r="I54" s="10">
        <v>340.83096700000004</v>
      </c>
      <c r="J54" s="10">
        <v>340.83096700000004</v>
      </c>
      <c r="K54" s="10">
        <v>340.83096700000004</v>
      </c>
      <c r="L54" s="10">
        <v>340.83096700000004</v>
      </c>
      <c r="M54" s="10">
        <v>340.83096700000004</v>
      </c>
      <c r="N54" s="10">
        <v>340.83096700000004</v>
      </c>
      <c r="O54" s="10">
        <v>340.83096700000004</v>
      </c>
      <c r="P54" s="10">
        <v>340.83096700000004</v>
      </c>
      <c r="Q54" s="10">
        <v>340.83096700000004</v>
      </c>
      <c r="R54" s="10">
        <v>340.83096700000004</v>
      </c>
      <c r="S54" s="10">
        <v>340.83096700000004</v>
      </c>
      <c r="T54" s="10">
        <v>340.83096700000004</v>
      </c>
      <c r="U54" s="10">
        <v>340.83096700000004</v>
      </c>
      <c r="V54" s="10">
        <v>340.83096700000004</v>
      </c>
      <c r="W54" s="10">
        <v>340.83096700000004</v>
      </c>
      <c r="X54" s="10">
        <v>340.83096700000004</v>
      </c>
      <c r="Y54" s="10">
        <v>340.83096700000004</v>
      </c>
      <c r="Z54" s="10">
        <v>340.83096700000004</v>
      </c>
      <c r="AA54" s="10">
        <v>340.83096700000004</v>
      </c>
      <c r="AB54" s="10">
        <v>340.83096700000004</v>
      </c>
      <c r="AC54" s="10">
        <v>340.83096700000004</v>
      </c>
      <c r="AD54" s="10">
        <v>340.83096700000004</v>
      </c>
      <c r="AE54" s="10">
        <v>340.83096700000004</v>
      </c>
      <c r="AF54" s="10">
        <v>340.83096700000004</v>
      </c>
      <c r="AG54" s="10">
        <v>340.83096700000004</v>
      </c>
      <c r="AH54" s="10">
        <v>340.83096700000004</v>
      </c>
      <c r="AI54" s="10">
        <v>340.83096700000004</v>
      </c>
      <c r="AJ54" s="10">
        <v>340.83096700000004</v>
      </c>
      <c r="AK54" s="10">
        <v>340.83096700000004</v>
      </c>
      <c r="AL54" s="10">
        <v>340.83096700000004</v>
      </c>
      <c r="AN54" s="10">
        <v>0</v>
      </c>
      <c r="AO54" s="10">
        <v>0</v>
      </c>
      <c r="AP54" s="10">
        <v>173.09825105225002</v>
      </c>
      <c r="AR54" s="10">
        <v>0</v>
      </c>
      <c r="AS54" s="10">
        <v>0</v>
      </c>
      <c r="AT54" s="10">
        <v>173.09825105225002</v>
      </c>
    </row>
    <row r="55" spans="2:46" ht="18" customHeight="1">
      <c r="B55" s="32" t="s">
        <v>390</v>
      </c>
      <c r="C55" s="63">
        <f t="shared" si="12"/>
        <v>161.94953295000002</v>
      </c>
      <c r="D55" s="10">
        <v>0</v>
      </c>
      <c r="E55" s="10">
        <v>0</v>
      </c>
      <c r="F55" s="10">
        <v>4.7441776499999992</v>
      </c>
      <c r="G55" s="10">
        <v>4.7441776499999992</v>
      </c>
      <c r="H55" s="10">
        <v>4.7441776499999992</v>
      </c>
      <c r="I55" s="10">
        <v>4.9238999999999988</v>
      </c>
      <c r="J55" s="10">
        <v>4.9238999999999988</v>
      </c>
      <c r="K55" s="10">
        <v>4.9238999999999988</v>
      </c>
      <c r="L55" s="10">
        <v>4.9238999999999988</v>
      </c>
      <c r="M55" s="10">
        <v>4.9238999999999988</v>
      </c>
      <c r="N55" s="10">
        <v>4.9238999999999988</v>
      </c>
      <c r="O55" s="10">
        <v>4.9238999999999988</v>
      </c>
      <c r="P55" s="10">
        <v>4.9238999999999988</v>
      </c>
      <c r="Q55" s="10">
        <v>4.9238999999999988</v>
      </c>
      <c r="R55" s="10">
        <v>4.9238999999999988</v>
      </c>
      <c r="S55" s="10">
        <v>4.9238999999999988</v>
      </c>
      <c r="T55" s="10">
        <v>4.9238999999999988</v>
      </c>
      <c r="U55" s="10">
        <v>4.9238999999999988</v>
      </c>
      <c r="V55" s="10">
        <v>4.9238999999999988</v>
      </c>
      <c r="W55" s="10">
        <v>4.9238999999999988</v>
      </c>
      <c r="X55" s="10">
        <v>4.9238999999999988</v>
      </c>
      <c r="Y55" s="10">
        <v>4.9238999999999988</v>
      </c>
      <c r="Z55" s="10">
        <v>4.9238999999999988</v>
      </c>
      <c r="AA55" s="10">
        <v>4.9238999999999988</v>
      </c>
      <c r="AB55" s="10">
        <v>4.9238999999999988</v>
      </c>
      <c r="AC55" s="10">
        <v>4.9238999999999988</v>
      </c>
      <c r="AD55" s="10">
        <v>4.9238999999999988</v>
      </c>
      <c r="AE55" s="10">
        <v>4.9238999999999988</v>
      </c>
      <c r="AF55" s="10">
        <v>4.9238999999999988</v>
      </c>
      <c r="AG55" s="10">
        <v>4.9238999999999988</v>
      </c>
      <c r="AH55" s="10">
        <v>4.9238999999999988</v>
      </c>
      <c r="AI55" s="10">
        <v>4.9238999999999988</v>
      </c>
      <c r="AJ55" s="10">
        <v>4.9238999999999988</v>
      </c>
      <c r="AK55" s="10">
        <v>4.9238999999999988</v>
      </c>
      <c r="AL55" s="10">
        <v>4.9238999999999988</v>
      </c>
      <c r="AN55" s="10">
        <v>0</v>
      </c>
      <c r="AO55" s="10">
        <v>0</v>
      </c>
      <c r="AP55" s="10">
        <v>4.7441776499999992</v>
      </c>
      <c r="AR55" s="10">
        <v>0</v>
      </c>
      <c r="AS55" s="10">
        <v>0</v>
      </c>
      <c r="AT55" s="10">
        <v>4.7441776499999992</v>
      </c>
    </row>
    <row r="56" spans="2:46" ht="18" customHeight="1">
      <c r="B56" s="32" t="s">
        <v>391</v>
      </c>
      <c r="C56" s="63">
        <f t="shared" si="12"/>
        <v>2503.3054431424321</v>
      </c>
      <c r="D56" s="10">
        <v>0</v>
      </c>
      <c r="E56" s="10">
        <v>0</v>
      </c>
      <c r="F56" s="10">
        <v>74.060460372000009</v>
      </c>
      <c r="G56" s="10">
        <v>74.060460372000009</v>
      </c>
      <c r="H56" s="10">
        <v>73.28694389622909</v>
      </c>
      <c r="I56" s="10">
        <v>76.063252616740101</v>
      </c>
      <c r="J56" s="10">
        <v>76.063252616740101</v>
      </c>
      <c r="K56" s="10">
        <v>76.063252616740101</v>
      </c>
      <c r="L56" s="10">
        <v>76.063252616740101</v>
      </c>
      <c r="M56" s="10">
        <v>76.063252616740101</v>
      </c>
      <c r="N56" s="10">
        <v>76.063252616740101</v>
      </c>
      <c r="O56" s="10">
        <v>76.063252616740101</v>
      </c>
      <c r="P56" s="10">
        <v>76.063252616740101</v>
      </c>
      <c r="Q56" s="10">
        <v>76.063252616740101</v>
      </c>
      <c r="R56" s="10">
        <v>76.063252616740101</v>
      </c>
      <c r="S56" s="10">
        <v>76.063252616740101</v>
      </c>
      <c r="T56" s="10">
        <v>76.063252616740101</v>
      </c>
      <c r="U56" s="10">
        <v>76.063252616740101</v>
      </c>
      <c r="V56" s="10">
        <v>76.063252616740101</v>
      </c>
      <c r="W56" s="10">
        <v>76.063252616740101</v>
      </c>
      <c r="X56" s="10">
        <v>76.063252616740101</v>
      </c>
      <c r="Y56" s="10">
        <v>76.063252616740101</v>
      </c>
      <c r="Z56" s="10">
        <v>76.063252616740101</v>
      </c>
      <c r="AA56" s="10">
        <v>76.063252616740101</v>
      </c>
      <c r="AB56" s="10">
        <v>76.063252616740101</v>
      </c>
      <c r="AC56" s="10">
        <v>76.063252616740101</v>
      </c>
      <c r="AD56" s="10">
        <v>76.063252616740101</v>
      </c>
      <c r="AE56" s="10">
        <v>76.063252616740101</v>
      </c>
      <c r="AF56" s="10">
        <v>76.063252616740101</v>
      </c>
      <c r="AG56" s="10">
        <v>76.063252616740101</v>
      </c>
      <c r="AH56" s="10">
        <v>76.063252616740101</v>
      </c>
      <c r="AI56" s="10">
        <v>76.063252616740101</v>
      </c>
      <c r="AJ56" s="10">
        <v>76.063252616740101</v>
      </c>
      <c r="AK56" s="10">
        <v>76.063252616740101</v>
      </c>
      <c r="AL56" s="10">
        <v>76.063252616740101</v>
      </c>
      <c r="AN56" s="10">
        <v>0</v>
      </c>
      <c r="AO56" s="10">
        <v>0</v>
      </c>
      <c r="AP56" s="10">
        <v>74.060460372000009</v>
      </c>
      <c r="AR56" s="10">
        <v>0</v>
      </c>
      <c r="AS56" s="10">
        <v>0</v>
      </c>
      <c r="AT56" s="10">
        <v>74.060460372000009</v>
      </c>
    </row>
    <row r="57" spans="2:46" ht="18" customHeight="1">
      <c r="B57" s="32" t="s">
        <v>460</v>
      </c>
      <c r="C57" s="63">
        <f t="shared" si="12"/>
        <v>0</v>
      </c>
      <c r="D57" s="10"/>
      <c r="E57" s="10"/>
      <c r="F57" s="10"/>
      <c r="G57" s="10"/>
      <c r="H57" s="10"/>
      <c r="I57" s="406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0"/>
      <c r="AH57" s="10"/>
      <c r="AI57" s="10"/>
      <c r="AJ57" s="10"/>
      <c r="AK57" s="10"/>
      <c r="AL57" s="10"/>
      <c r="AN57" s="10"/>
      <c r="AO57" s="10"/>
      <c r="AP57" s="10"/>
      <c r="AR57" s="10"/>
      <c r="AS57" s="10"/>
      <c r="AT57" s="10"/>
    </row>
    <row r="58" spans="2:46" s="23" customFormat="1" ht="24.95" customHeight="1">
      <c r="B58" s="34" t="s">
        <v>4</v>
      </c>
      <c r="C58" s="35">
        <f t="shared" si="7"/>
        <v>1583571.7822386976</v>
      </c>
      <c r="D58" s="36">
        <f t="shared" ref="D58:AL58" si="13">D4+D11+D16+D24+D30+D36+D38+D43+D46</f>
        <v>13804.014381703519</v>
      </c>
      <c r="E58" s="36">
        <f t="shared" si="13"/>
        <v>23458.610703345272</v>
      </c>
      <c r="F58" s="36">
        <f t="shared" si="13"/>
        <v>36596.674010086426</v>
      </c>
      <c r="G58" s="36">
        <f t="shared" si="13"/>
        <v>38306.020713280042</v>
      </c>
      <c r="H58" s="36">
        <f t="shared" si="13"/>
        <v>40147.465286505016</v>
      </c>
      <c r="I58" s="36">
        <f t="shared" si="13"/>
        <v>39849.339555543324</v>
      </c>
      <c r="J58" s="36">
        <f t="shared" si="13"/>
        <v>39810.109973602273</v>
      </c>
      <c r="K58" s="36">
        <f t="shared" si="13"/>
        <v>40419.28047018595</v>
      </c>
      <c r="L58" s="36">
        <f t="shared" si="13"/>
        <v>40051.254786278041</v>
      </c>
      <c r="M58" s="36">
        <f t="shared" si="13"/>
        <v>39971.254982999431</v>
      </c>
      <c r="N58" s="36">
        <f t="shared" si="13"/>
        <v>37785.889883973039</v>
      </c>
      <c r="O58" s="36">
        <f t="shared" si="13"/>
        <v>38986.011543195942</v>
      </c>
      <c r="P58" s="36">
        <f t="shared" si="13"/>
        <v>40181.752856216823</v>
      </c>
      <c r="Q58" s="36">
        <f t="shared" si="13"/>
        <v>42574.675129682553</v>
      </c>
      <c r="R58" s="36">
        <f t="shared" si="13"/>
        <v>45279.547296635603</v>
      </c>
      <c r="S58" s="36">
        <f t="shared" si="13"/>
        <v>46845.154409199851</v>
      </c>
      <c r="T58" s="36">
        <f t="shared" si="13"/>
        <v>46314.711264388745</v>
      </c>
      <c r="U58" s="36">
        <f t="shared" si="13"/>
        <v>47279.356433930843</v>
      </c>
      <c r="V58" s="36">
        <f t="shared" si="13"/>
        <v>44181.332514091533</v>
      </c>
      <c r="W58" s="36">
        <f t="shared" si="13"/>
        <v>44215.841464274279</v>
      </c>
      <c r="X58" s="36">
        <f t="shared" si="13"/>
        <v>46421.235046476584</v>
      </c>
      <c r="Y58" s="36">
        <f t="shared" si="13"/>
        <v>47610.543493740908</v>
      </c>
      <c r="Z58" s="36">
        <f t="shared" si="13"/>
        <v>48712.436153710143</v>
      </c>
      <c r="AA58" s="36">
        <f t="shared" si="13"/>
        <v>51036.768330420993</v>
      </c>
      <c r="AB58" s="36">
        <f t="shared" si="13"/>
        <v>51773.728741814091</v>
      </c>
      <c r="AC58" s="36">
        <f t="shared" si="13"/>
        <v>52028.690631742873</v>
      </c>
      <c r="AD58" s="36">
        <f t="shared" si="13"/>
        <v>49805.150493652487</v>
      </c>
      <c r="AE58" s="36">
        <f t="shared" si="13"/>
        <v>50861.601318356094</v>
      </c>
      <c r="AF58" s="36">
        <f t="shared" si="13"/>
        <v>50932.893008384082</v>
      </c>
      <c r="AG58" s="36">
        <f t="shared" si="13"/>
        <v>50961.0864429141</v>
      </c>
      <c r="AH58" s="36">
        <f t="shared" si="13"/>
        <v>56647.719662609947</v>
      </c>
      <c r="AI58" s="36">
        <f t="shared" si="13"/>
        <v>58178.831850060204</v>
      </c>
      <c r="AJ58" s="36">
        <f t="shared" si="13"/>
        <v>57404.555746093341</v>
      </c>
      <c r="AK58" s="36">
        <f t="shared" si="13"/>
        <v>59288.72669836547</v>
      </c>
      <c r="AL58" s="36">
        <f t="shared" si="13"/>
        <v>65849.516961237576</v>
      </c>
      <c r="AN58" s="36">
        <f>AN4+AN11+AN16+AN24+AN30+AN36+AN38+AN43+AN46</f>
        <v>12708.105888013455</v>
      </c>
      <c r="AO58" s="36">
        <f>AO4+AO11+AO16+AO24+AO30+AO36+AO38+AO43+AO46</f>
        <v>19645.90325894202</v>
      </c>
      <c r="AP58" s="36">
        <f>AP4+AP11+AP16+AP24+AP30+AP36+AP38+AP43+AP46</f>
        <v>27762.388997948605</v>
      </c>
      <c r="AR58" s="36">
        <f>AR4+AR11+AR16+AR24+AR30+AR36+AR38+AR43+AR46</f>
        <v>12708.105888013457</v>
      </c>
      <c r="AS58" s="36">
        <f>AS4+AS11+AS16+AS24+AS30+AS36+AS38+AS43+AS46</f>
        <v>18126.762329205008</v>
      </c>
      <c r="AT58" s="36">
        <f>AT4+AT11+AT16+AT24+AT30+AT36+AT38+AT43+AT46</f>
        <v>26575.930688262612</v>
      </c>
    </row>
    <row r="59" spans="2:46" ht="13.5" thickBot="1"/>
    <row r="60" spans="2:46" ht="13.5" thickBot="1">
      <c r="C60" s="143" t="s">
        <v>405</v>
      </c>
    </row>
    <row r="61" spans="2:46">
      <c r="C61" s="77"/>
      <c r="D61" s="78">
        <f>D4+D11+D16+D24+D30+D38+D43+D46</f>
        <v>12708.105888013453</v>
      </c>
      <c r="E61" s="78">
        <f>E4+E11+E16+E24+E30+E38+E43+E46</f>
        <v>17888.181316817863</v>
      </c>
      <c r="F61" s="78">
        <f>F4+F11+F16+F24+F30+F38+F43+F46</f>
        <v>25992.562762369096</v>
      </c>
    </row>
    <row r="62" spans="2:46">
      <c r="C62" s="69">
        <f>C58-C36-C38-C43</f>
        <v>1192799.0775567095</v>
      </c>
      <c r="D62" s="69">
        <f t="shared" ref="D62:AL62" si="14">D58-D36-D38-D43</f>
        <v>12129.065881103596</v>
      </c>
      <c r="E62" s="69">
        <f t="shared" si="14"/>
        <v>17109.392530638739</v>
      </c>
      <c r="F62" s="69">
        <f>F58-F36-F38-F43</f>
        <v>25112.929537729593</v>
      </c>
      <c r="G62" s="69">
        <f t="shared" si="14"/>
        <v>27331.683967231693</v>
      </c>
      <c r="H62" s="69">
        <f t="shared" si="14"/>
        <v>29252.257345269118</v>
      </c>
      <c r="I62" s="69">
        <f t="shared" si="14"/>
        <v>29780.494233892929</v>
      </c>
      <c r="J62" s="69">
        <f t="shared" si="14"/>
        <v>30594.035024861674</v>
      </c>
      <c r="K62" s="69">
        <f t="shared" si="14"/>
        <v>31431.078295234678</v>
      </c>
      <c r="L62" s="69">
        <f t="shared" si="14"/>
        <v>30997.652326195464</v>
      </c>
      <c r="M62" s="69">
        <f t="shared" si="14"/>
        <v>31192.662621929525</v>
      </c>
      <c r="N62" s="69">
        <f t="shared" si="14"/>
        <v>29139.955373684956</v>
      </c>
      <c r="O62" s="69">
        <f t="shared" si="14"/>
        <v>30389.30668542346</v>
      </c>
      <c r="P62" s="69">
        <f t="shared" si="14"/>
        <v>31400.385234696172</v>
      </c>
      <c r="Q62" s="69">
        <f t="shared" si="14"/>
        <v>32373.270123390568</v>
      </c>
      <c r="R62" s="69">
        <f t="shared" si="14"/>
        <v>33917.52959840525</v>
      </c>
      <c r="S62" s="69">
        <f t="shared" si="14"/>
        <v>35380.704038778582</v>
      </c>
      <c r="T62" s="69">
        <f t="shared" si="14"/>
        <v>34761.480256456714</v>
      </c>
      <c r="U62" s="69">
        <f t="shared" si="14"/>
        <v>35118.807022898327</v>
      </c>
      <c r="V62" s="69">
        <f t="shared" si="14"/>
        <v>33059.605437206003</v>
      </c>
      <c r="W62" s="69">
        <f t="shared" si="14"/>
        <v>34201.021433348273</v>
      </c>
      <c r="X62" s="69">
        <f t="shared" si="14"/>
        <v>36373.894624061708</v>
      </c>
      <c r="Y62" s="69">
        <f t="shared" si="14"/>
        <v>37499.406058134664</v>
      </c>
      <c r="Z62" s="69">
        <f t="shared" si="14"/>
        <v>38678.141255029383</v>
      </c>
      <c r="AA62" s="69">
        <f t="shared" si="14"/>
        <v>39775.043065655809</v>
      </c>
      <c r="AB62" s="69">
        <f t="shared" si="14"/>
        <v>39211.16046315492</v>
      </c>
      <c r="AC62" s="69">
        <f t="shared" si="14"/>
        <v>39616.050797571697</v>
      </c>
      <c r="AD62" s="69">
        <f t="shared" si="14"/>
        <v>37640.824425979234</v>
      </c>
      <c r="AE62" s="69">
        <f t="shared" si="14"/>
        <v>38683.999343327836</v>
      </c>
      <c r="AF62" s="69">
        <f t="shared" si="14"/>
        <v>39799.20783831329</v>
      </c>
      <c r="AG62" s="69">
        <f t="shared" si="14"/>
        <v>40902.224505567916</v>
      </c>
      <c r="AH62" s="69">
        <f t="shared" si="14"/>
        <v>41814.666693302453</v>
      </c>
      <c r="AI62" s="69">
        <f t="shared" si="14"/>
        <v>42916.799855532277</v>
      </c>
      <c r="AJ62" s="69">
        <f t="shared" si="14"/>
        <v>42190.43100154386</v>
      </c>
      <c r="AK62" s="69">
        <f t="shared" si="14"/>
        <v>42506.577517117628</v>
      </c>
      <c r="AL62" s="69">
        <f t="shared" si="14"/>
        <v>40517.333144041353</v>
      </c>
    </row>
    <row r="63" spans="2:46" ht="13.5" thickBot="1"/>
    <row r="64" spans="2:46" ht="16.5" thickBot="1">
      <c r="B64" s="100" t="s">
        <v>324</v>
      </c>
      <c r="C64" s="99"/>
      <c r="D64" s="113">
        <f t="array" ref="D64:AL64">TRANSPOSE(QDA!$R$6:$R$40)</f>
        <v>0</v>
      </c>
      <c r="E64" s="114">
        <v>5.8840678374998401E-2</v>
      </c>
      <c r="F64" s="114">
        <v>0.37657901201841315</v>
      </c>
      <c r="G64" s="114">
        <v>6.4198583966629252E-2</v>
      </c>
      <c r="H64" s="114">
        <v>6.2439849640818501E-2</v>
      </c>
      <c r="I64" s="114">
        <v>5.9362295150534594E-2</v>
      </c>
      <c r="J64" s="114">
        <v>5.3790609623036501E-2</v>
      </c>
      <c r="K64" s="114">
        <v>5.3017902846346665E-2</v>
      </c>
      <c r="L64" s="114">
        <v>5.3074604466266218E-2</v>
      </c>
      <c r="M64" s="114">
        <v>5.2812465567382505E-2</v>
      </c>
      <c r="N64" s="114">
        <v>5.2284317222380805E-2</v>
      </c>
      <c r="O64" s="114">
        <v>5.1523349774583282E-2</v>
      </c>
      <c r="P64" s="114">
        <v>5.0564831615363737E-2</v>
      </c>
      <c r="Q64" s="114">
        <v>4.9457249649814461E-2</v>
      </c>
      <c r="R64" s="114">
        <v>4.823186872117291E-2</v>
      </c>
      <c r="S64" s="114">
        <v>4.6906616369397858E-2</v>
      </c>
      <c r="T64" s="114">
        <v>4.5563095263521758E-2</v>
      </c>
      <c r="U64" s="114">
        <v>4.4283265469832633E-2</v>
      </c>
      <c r="V64" s="114">
        <v>4.3077081558950292E-2</v>
      </c>
      <c r="W64" s="114">
        <v>4.2556779673406986E-2</v>
      </c>
      <c r="X64" s="114">
        <v>4.2573297401806931E-2</v>
      </c>
      <c r="Y64" s="114">
        <v>4.1158869953225041E-2</v>
      </c>
      <c r="Z64" s="114">
        <v>3.97792234098302E-2</v>
      </c>
      <c r="AA64" s="114">
        <v>3.8423583402346528E-2</v>
      </c>
      <c r="AB64" s="114">
        <v>3.7086455387645545E-2</v>
      </c>
      <c r="AC64" s="114">
        <v>3.5757713825230963E-2</v>
      </c>
      <c r="AD64" s="114">
        <v>3.4426481045233714E-2</v>
      </c>
      <c r="AE64" s="114">
        <v>3.308740754528916E-2</v>
      </c>
      <c r="AF64" s="114">
        <v>3.1728078273725702E-2</v>
      </c>
      <c r="AG64" s="114">
        <v>3.0347957205261622E-2</v>
      </c>
      <c r="AH64" s="114">
        <v>2.894835997354428E-2</v>
      </c>
      <c r="AI64" s="114">
        <v>2.752654897001694E-2</v>
      </c>
      <c r="AJ64" s="114">
        <v>2.6092495941125282E-2</v>
      </c>
      <c r="AK64" s="114">
        <v>2.4684541858707387E-2</v>
      </c>
      <c r="AL64" s="114">
        <v>1.5840996514617789E-2</v>
      </c>
    </row>
    <row r="65" spans="2:38" ht="16.5" thickBot="1">
      <c r="B65" s="108" t="s">
        <v>318</v>
      </c>
      <c r="C65" s="109" t="s">
        <v>319</v>
      </c>
      <c r="D65" s="115">
        <f>D64</f>
        <v>0</v>
      </c>
      <c r="E65" s="115">
        <f>(1+E64*$C$66)*(1+D65)-1</f>
        <v>5.8840678374998401E-3</v>
      </c>
      <c r="F65" s="115">
        <f>(1+F64*$C$66)*(1+E65)-1</f>
        <v>4.3763550684630781E-2</v>
      </c>
      <c r="G65" s="115">
        <f>(1+G64*$C$66)*(1+F65)-1</f>
        <v>5.0464364879624135E-2</v>
      </c>
      <c r="H65" s="115">
        <f>(1+H64*$C$66)*(1+G65)-1</f>
        <v>5.7023448579236247E-2</v>
      </c>
      <c r="I65" s="116">
        <f>(1+I64*$C$67)*(1+H65)-1</f>
        <v>6.6435549269575844E-2</v>
      </c>
      <c r="J65" s="115">
        <f>(1+J64*$C$67)*(1+I65)-1</f>
        <v>7.5040182017409141E-2</v>
      </c>
      <c r="K65" s="115">
        <f>(1+K64*$C$67)*(1+J65)-1</f>
        <v>8.3589638406326827E-2</v>
      </c>
      <c r="L65" s="115">
        <f>(1+L64*$C$67)*(1+K65)-1</f>
        <v>9.2216302125650795E-2</v>
      </c>
      <c r="M65" s="115">
        <f>(1+M64*$C$67)*(1+L65)-1</f>
        <v>0.10086869750287253</v>
      </c>
      <c r="N65" s="116">
        <f t="shared" ref="N65:W65" si="15">(1+N64*$C$68)*(1+M65)-1</f>
        <v>0.11525823955297998</v>
      </c>
      <c r="O65" s="115">
        <f t="shared" si="15"/>
        <v>0.1296236996443485</v>
      </c>
      <c r="P65" s="115">
        <f t="shared" si="15"/>
        <v>0.14390350768465865</v>
      </c>
      <c r="Q65" s="115">
        <f t="shared" si="15"/>
        <v>0.15804708802337308</v>
      </c>
      <c r="R65" s="115">
        <f t="shared" si="15"/>
        <v>0.1720107818039931</v>
      </c>
      <c r="S65" s="115">
        <f t="shared" si="15"/>
        <v>0.1857545468347126</v>
      </c>
      <c r="T65" s="115">
        <f t="shared" si="15"/>
        <v>0.19926120867885877</v>
      </c>
      <c r="U65" s="115">
        <f t="shared" si="15"/>
        <v>0.21253800929675837</v>
      </c>
      <c r="V65" s="115">
        <f t="shared" si="15"/>
        <v>0.22559615897670926</v>
      </c>
      <c r="W65" s="115">
        <f t="shared" si="15"/>
        <v>0.23863551540324579</v>
      </c>
      <c r="X65" s="116">
        <f t="shared" ref="X65:AL65" si="16">(1+X64*$C$69)*(1+W65)-1</f>
        <v>0.25603733879924784</v>
      </c>
      <c r="Y65" s="115">
        <f t="shared" si="16"/>
        <v>0.27309737436897885</v>
      </c>
      <c r="Z65" s="115">
        <f t="shared" si="16"/>
        <v>0.28980950657855131</v>
      </c>
      <c r="AA65" s="115">
        <f t="shared" si="16"/>
        <v>0.30616401061777432</v>
      </c>
      <c r="AB65" s="115">
        <f t="shared" si="16"/>
        <v>0.32214953840965332</v>
      </c>
      <c r="AC65" s="115">
        <f t="shared" si="16"/>
        <v>0.33775096320309572</v>
      </c>
      <c r="AD65" s="115">
        <f t="shared" si="16"/>
        <v>0.35294880240182058</v>
      </c>
      <c r="AE65" s="115">
        <f t="shared" si="16"/>
        <v>0.36772143997810414</v>
      </c>
      <c r="AF65" s="115">
        <f t="shared" si="16"/>
        <v>0.38204184703651589</v>
      </c>
      <c r="AG65" s="115">
        <f t="shared" si="16"/>
        <v>0.39588275549033169</v>
      </c>
      <c r="AH65" s="115">
        <f t="shared" si="16"/>
        <v>0.40921756593097491</v>
      </c>
      <c r="AI65" s="115">
        <f t="shared" si="16"/>
        <v>0.42201856172251717</v>
      </c>
      <c r="AJ65" s="115">
        <f t="shared" si="16"/>
        <v>0.43426288619400055</v>
      </c>
      <c r="AK65" s="115">
        <f t="shared" si="16"/>
        <v>0.44594624653671366</v>
      </c>
      <c r="AL65" s="115">
        <f t="shared" si="16"/>
        <v>0.45350497225577868</v>
      </c>
    </row>
    <row r="66" spans="2:38" ht="15.75" customHeight="1" thickBot="1">
      <c r="B66" s="108" t="s">
        <v>320</v>
      </c>
      <c r="C66" s="111">
        <v>0.1</v>
      </c>
    </row>
    <row r="67" spans="2:38" ht="15.75" customHeight="1" thickBot="1">
      <c r="B67" s="108" t="s">
        <v>321</v>
      </c>
      <c r="C67" s="111">
        <v>0.15</v>
      </c>
    </row>
    <row r="68" spans="2:38" ht="15.75" customHeight="1" thickBot="1">
      <c r="B68" s="108" t="s">
        <v>322</v>
      </c>
      <c r="C68" s="111">
        <v>0.25</v>
      </c>
      <c r="E68" s="138"/>
    </row>
    <row r="69" spans="2:38" ht="15.75" customHeight="1" thickBot="1">
      <c r="B69" s="110" t="s">
        <v>323</v>
      </c>
      <c r="C69" s="112">
        <v>0.33</v>
      </c>
    </row>
    <row r="70" spans="2:38" ht="13.5" thickBot="1"/>
    <row r="71" spans="2:38" ht="16.5" thickBot="1">
      <c r="B71" s="137" t="s">
        <v>350</v>
      </c>
      <c r="C71" s="136">
        <v>0.12</v>
      </c>
    </row>
    <row r="72" spans="2:38" ht="17.45" customHeight="1" thickBot="1">
      <c r="C72" s="144">
        <f>(1+$C$71)</f>
        <v>1.1200000000000001</v>
      </c>
    </row>
  </sheetData>
  <autoFilter ref="B1:B72" xr:uid="{00000000-0009-0000-0000-000005000000}"/>
  <phoneticPr fontId="16" type="noConversion"/>
  <printOptions horizontalCentered="1"/>
  <pageMargins left="0.98425196850393704" right="0.39370078740157483" top="1.1811023622047245" bottom="0.78740157480314965" header="0.78740157480314965" footer="0.78740157480314965"/>
  <pageSetup paperSize="9" scale="60" orientation="landscape" r:id="rId1"/>
  <headerFooter>
    <oddFooter>&amp;L&amp;"Arial,Negrito"Nota 1: o item 2.4 corresponde a despesa com Conservação de Equip. de Informática.
Nota 2: o item 5.4 corresponde a despesa com Treinamento, Viagens e Outras.
Nota 3: o item 7.4 corresponde a despesa com Seguros de Respons. Civil.</oddFooter>
  </headerFooter>
  <rowBreaks count="1" manualBreakCount="1">
    <brk id="29" min="1" max="37" man="1"/>
  </rowBreaks>
  <colBreaks count="1" manualBreakCount="1">
    <brk id="21" max="42" man="1"/>
  </colBreak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ilha8"/>
  <dimension ref="A1:IV79"/>
  <sheetViews>
    <sheetView showGridLines="0" zoomScale="85" zoomScaleNormal="85" workbookViewId="0">
      <pane xSplit="4" ySplit="3" topLeftCell="E53" activePane="bottomRight" state="frozen"/>
      <selection activeCell="F15" sqref="F15"/>
      <selection pane="topRight" activeCell="F15" sqref="F15"/>
      <selection pane="bottomLeft" activeCell="F15" sqref="F15"/>
      <selection pane="bottomRight" activeCell="N56" sqref="N56"/>
    </sheetView>
  </sheetViews>
  <sheetFormatPr defaultColWidth="9.140625" defaultRowHeight="12.75"/>
  <cols>
    <col min="1" max="1" width="6.5703125" customWidth="1"/>
    <col min="2" max="2" width="12.140625" customWidth="1"/>
    <col min="3" max="3" width="60.7109375" customWidth="1"/>
    <col min="4" max="4" width="13.140625" style="1" customWidth="1"/>
    <col min="5" max="6" width="14.28515625" style="98" customWidth="1"/>
    <col min="7" max="7" width="10.5703125" style="98" bestFit="1" customWidth="1"/>
    <col min="8" max="12" width="10" style="98" customWidth="1"/>
    <col min="13" max="13" width="11.5703125" style="98" customWidth="1"/>
    <col min="14" max="18" width="10" style="98" customWidth="1"/>
    <col min="19" max="19" width="16" style="98" customWidth="1"/>
    <col min="20" max="39" width="10" style="98" customWidth="1"/>
    <col min="40" max="40" width="10.7109375" style="98" bestFit="1" customWidth="1"/>
    <col min="41" max="41" width="8.5703125" style="14" customWidth="1"/>
    <col min="42" max="16384" width="9.140625" style="98"/>
  </cols>
  <sheetData>
    <row r="1" spans="1:53" customFormat="1" ht="30.2" customHeight="1">
      <c r="B1" s="19" t="str">
        <f>QDA!B1</f>
        <v>CONCESSIONÁRIA ROTA DO ATLÂNTICO</v>
      </c>
      <c r="D1" s="67"/>
      <c r="E1" s="275">
        <f>6096.356*0.7</f>
        <v>4267.4492</v>
      </c>
      <c r="F1" s="275">
        <f>6096.356*0.3</f>
        <v>1828.9068</v>
      </c>
      <c r="G1" s="277"/>
      <c r="H1" s="277"/>
      <c r="I1" s="19"/>
      <c r="J1" s="19"/>
      <c r="K1" s="19"/>
      <c r="L1" s="19"/>
      <c r="M1" s="19"/>
      <c r="N1" s="19"/>
      <c r="O1" s="19"/>
      <c r="P1" s="19"/>
      <c r="Q1" s="19"/>
      <c r="R1" s="19">
        <v>2080.8239921875002</v>
      </c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</row>
    <row r="2" spans="1:53" customFormat="1" ht="18.75" customHeight="1">
      <c r="B2" s="5" t="s">
        <v>217</v>
      </c>
      <c r="D2" s="39"/>
      <c r="E2" s="150" t="s">
        <v>43</v>
      </c>
      <c r="F2" s="149"/>
      <c r="H2" s="20" t="s">
        <v>230</v>
      </c>
      <c r="R2">
        <v>315</v>
      </c>
      <c r="S2" s="287">
        <f>R1-R2</f>
        <v>1765.8239921875002</v>
      </c>
      <c r="AH2" s="20"/>
      <c r="AM2" s="20"/>
    </row>
    <row r="3" spans="1:53" s="25" customFormat="1" ht="30.2" customHeight="1">
      <c r="B3" s="910" t="s">
        <v>78</v>
      </c>
      <c r="C3" s="910"/>
      <c r="D3" s="26" t="s">
        <v>4</v>
      </c>
      <c r="E3" s="26">
        <v>1</v>
      </c>
      <c r="F3" s="26">
        <v>2</v>
      </c>
      <c r="G3" s="26">
        <v>3</v>
      </c>
      <c r="H3" s="26">
        <v>4</v>
      </c>
      <c r="I3" s="26">
        <v>5</v>
      </c>
      <c r="J3" s="26">
        <v>6</v>
      </c>
      <c r="K3" s="26">
        <v>7</v>
      </c>
      <c r="L3" s="26">
        <v>8</v>
      </c>
      <c r="M3" s="26">
        <v>9</v>
      </c>
      <c r="N3" s="26">
        <v>10</v>
      </c>
      <c r="O3" s="26">
        <v>11</v>
      </c>
      <c r="P3" s="26">
        <v>12</v>
      </c>
      <c r="Q3" s="26">
        <v>13</v>
      </c>
      <c r="R3" s="26">
        <v>14</v>
      </c>
      <c r="S3" s="26">
        <v>15</v>
      </c>
      <c r="T3" s="26">
        <v>16</v>
      </c>
      <c r="U3" s="26">
        <v>17</v>
      </c>
      <c r="V3" s="26">
        <v>18</v>
      </c>
      <c r="W3" s="26">
        <v>19</v>
      </c>
      <c r="X3" s="26">
        <v>20</v>
      </c>
      <c r="Y3" s="26">
        <v>21</v>
      </c>
      <c r="Z3" s="26">
        <v>22</v>
      </c>
      <c r="AA3" s="26">
        <v>23</v>
      </c>
      <c r="AB3" s="26">
        <v>24</v>
      </c>
      <c r="AC3" s="26">
        <v>25</v>
      </c>
      <c r="AD3" s="26">
        <v>26</v>
      </c>
      <c r="AE3" s="26">
        <v>27</v>
      </c>
      <c r="AF3" s="26">
        <v>28</v>
      </c>
      <c r="AG3" s="26">
        <v>29</v>
      </c>
      <c r="AH3" s="26">
        <v>30</v>
      </c>
      <c r="AI3" s="26">
        <v>31</v>
      </c>
      <c r="AJ3" s="26">
        <v>32</v>
      </c>
      <c r="AK3" s="26">
        <v>33</v>
      </c>
      <c r="AL3" s="26">
        <v>34</v>
      </c>
      <c r="AM3" s="26">
        <v>35</v>
      </c>
      <c r="AO3" s="26" t="s">
        <v>362</v>
      </c>
    </row>
    <row r="4" spans="1:53" customFormat="1" ht="24.95" customHeight="1">
      <c r="B4" s="37">
        <v>1</v>
      </c>
      <c r="C4" s="38" t="s">
        <v>273</v>
      </c>
      <c r="D4" s="35">
        <f t="shared" ref="D4:D32" si="0">SUM(E4:AM4)</f>
        <v>180737.0674125122</v>
      </c>
      <c r="E4" s="35">
        <f>E5+E6+E7</f>
        <v>56648.618090000004</v>
      </c>
      <c r="F4" s="35">
        <f>F5+F6+F7</f>
        <v>94686.893199999991</v>
      </c>
      <c r="G4" s="35">
        <f t="shared" ref="G4:AM4" si="1">G5+G6+G7</f>
        <v>0</v>
      </c>
      <c r="H4" s="35">
        <f t="shared" si="1"/>
        <v>0</v>
      </c>
      <c r="I4" s="35">
        <f t="shared" si="1"/>
        <v>0</v>
      </c>
      <c r="J4" s="35">
        <f t="shared" si="1"/>
        <v>0</v>
      </c>
      <c r="K4" s="35">
        <f t="shared" si="1"/>
        <v>0</v>
      </c>
      <c r="L4" s="35">
        <f>L5+L6+L7</f>
        <v>0</v>
      </c>
      <c r="M4" s="35">
        <f t="shared" si="1"/>
        <v>0</v>
      </c>
      <c r="N4" s="35">
        <f t="shared" si="1"/>
        <v>0</v>
      </c>
      <c r="O4" s="35">
        <f t="shared" si="1"/>
        <v>0</v>
      </c>
      <c r="P4" s="35">
        <f t="shared" si="1"/>
        <v>0</v>
      </c>
      <c r="Q4" s="35">
        <f t="shared" si="1"/>
        <v>0</v>
      </c>
      <c r="R4" s="35">
        <f t="shared" si="1"/>
        <v>0</v>
      </c>
      <c r="S4" s="35">
        <f t="shared" si="1"/>
        <v>2415.4458225121998</v>
      </c>
      <c r="T4" s="35">
        <f t="shared" si="1"/>
        <v>0</v>
      </c>
      <c r="U4" s="35">
        <f t="shared" si="1"/>
        <v>0</v>
      </c>
      <c r="V4" s="35">
        <f t="shared" si="1"/>
        <v>0</v>
      </c>
      <c r="W4" s="35">
        <f t="shared" si="1"/>
        <v>0</v>
      </c>
      <c r="X4" s="35">
        <f t="shared" si="1"/>
        <v>0</v>
      </c>
      <c r="Y4" s="35">
        <f t="shared" si="1"/>
        <v>0</v>
      </c>
      <c r="Z4" s="35">
        <f t="shared" si="1"/>
        <v>0</v>
      </c>
      <c r="AA4" s="35">
        <f t="shared" si="1"/>
        <v>0</v>
      </c>
      <c r="AB4" s="35">
        <f t="shared" si="1"/>
        <v>0</v>
      </c>
      <c r="AC4" s="35">
        <f t="shared" si="1"/>
        <v>0</v>
      </c>
      <c r="AD4" s="35">
        <f t="shared" si="1"/>
        <v>0</v>
      </c>
      <c r="AE4" s="35">
        <f t="shared" si="1"/>
        <v>0</v>
      </c>
      <c r="AF4" s="35">
        <f t="shared" si="1"/>
        <v>0</v>
      </c>
      <c r="AG4" s="35">
        <f t="shared" si="1"/>
        <v>0</v>
      </c>
      <c r="AH4" s="35">
        <f t="shared" si="1"/>
        <v>20889.754300000001</v>
      </c>
      <c r="AI4" s="35">
        <f t="shared" si="1"/>
        <v>0</v>
      </c>
      <c r="AJ4" s="35">
        <f t="shared" si="1"/>
        <v>0</v>
      </c>
      <c r="AK4" s="35">
        <f t="shared" si="1"/>
        <v>0</v>
      </c>
      <c r="AL4" s="35">
        <f t="shared" si="1"/>
        <v>0</v>
      </c>
      <c r="AM4" s="35">
        <f t="shared" si="1"/>
        <v>6096.3559999999998</v>
      </c>
      <c r="AO4" s="35"/>
    </row>
    <row r="5" spans="1:53" customFormat="1" ht="18" customHeight="1">
      <c r="B5" s="246" t="s">
        <v>175</v>
      </c>
      <c r="C5" s="247" t="s">
        <v>132</v>
      </c>
      <c r="D5" s="59">
        <f>SUM(E5:AM5)</f>
        <v>3589.2672899999998</v>
      </c>
      <c r="E5" s="59">
        <f>5428+IF('Painel de Controle'!$H$46="sim",-1927.73271,0)</f>
        <v>3500.2672899999998</v>
      </c>
      <c r="F5" s="59">
        <v>89</v>
      </c>
      <c r="G5" s="59"/>
      <c r="H5" s="59"/>
      <c r="I5" s="59"/>
      <c r="J5" s="59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59"/>
      <c r="AC5" s="59"/>
      <c r="AD5" s="59"/>
      <c r="AE5" s="59"/>
      <c r="AF5" s="59"/>
      <c r="AG5" s="59"/>
      <c r="AH5" s="59"/>
      <c r="AI5" s="59"/>
      <c r="AJ5" s="59"/>
      <c r="AK5" s="59"/>
      <c r="AL5" s="59"/>
      <c r="AM5" s="59"/>
      <c r="AO5" s="117"/>
    </row>
    <row r="6" spans="1:53" customFormat="1" ht="18" customHeight="1">
      <c r="B6" s="246" t="s">
        <v>173</v>
      </c>
      <c r="C6" s="247" t="s">
        <v>133</v>
      </c>
      <c r="D6" s="59">
        <f t="shared" ref="D6:D13" si="2">SUM(E6:AM6)</f>
        <v>0</v>
      </c>
      <c r="E6" s="59"/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O6" s="118"/>
    </row>
    <row r="7" spans="1:53" customFormat="1" ht="18" customHeight="1">
      <c r="B7" s="246" t="s">
        <v>174</v>
      </c>
      <c r="C7" s="247" t="s">
        <v>279</v>
      </c>
      <c r="D7" s="59">
        <f t="shared" si="2"/>
        <v>177147.80012251221</v>
      </c>
      <c r="E7" s="59">
        <f t="shared" ref="E7:AM7" si="3">SUM(E8:E13)</f>
        <v>53148.3508</v>
      </c>
      <c r="F7" s="59">
        <f t="shared" si="3"/>
        <v>94597.893199999991</v>
      </c>
      <c r="G7" s="59">
        <f t="shared" si="3"/>
        <v>0</v>
      </c>
      <c r="H7" s="59">
        <f t="shared" si="3"/>
        <v>0</v>
      </c>
      <c r="I7" s="59">
        <f t="shared" si="3"/>
        <v>0</v>
      </c>
      <c r="J7" s="59">
        <f t="shared" si="3"/>
        <v>0</v>
      </c>
      <c r="K7" s="59">
        <f t="shared" si="3"/>
        <v>0</v>
      </c>
      <c r="L7" s="59">
        <f t="shared" si="3"/>
        <v>0</v>
      </c>
      <c r="M7" s="59">
        <f t="shared" si="3"/>
        <v>0</v>
      </c>
      <c r="N7" s="59">
        <f t="shared" si="3"/>
        <v>0</v>
      </c>
      <c r="O7" s="59">
        <f t="shared" si="3"/>
        <v>0</v>
      </c>
      <c r="P7" s="59">
        <f t="shared" si="3"/>
        <v>0</v>
      </c>
      <c r="Q7" s="59">
        <f t="shared" si="3"/>
        <v>0</v>
      </c>
      <c r="R7" s="59">
        <f t="shared" si="3"/>
        <v>0</v>
      </c>
      <c r="S7" s="59">
        <f t="shared" si="3"/>
        <v>2415.4458225121998</v>
      </c>
      <c r="T7" s="59">
        <f t="shared" si="3"/>
        <v>0</v>
      </c>
      <c r="U7" s="59">
        <f t="shared" si="3"/>
        <v>0</v>
      </c>
      <c r="V7" s="59">
        <f t="shared" si="3"/>
        <v>0</v>
      </c>
      <c r="W7" s="59">
        <f t="shared" si="3"/>
        <v>0</v>
      </c>
      <c r="X7" s="59">
        <f t="shared" si="3"/>
        <v>0</v>
      </c>
      <c r="Y7" s="59">
        <f t="shared" si="3"/>
        <v>0</v>
      </c>
      <c r="Z7" s="59">
        <f t="shared" si="3"/>
        <v>0</v>
      </c>
      <c r="AA7" s="59">
        <f t="shared" si="3"/>
        <v>0</v>
      </c>
      <c r="AB7" s="59">
        <f t="shared" si="3"/>
        <v>0</v>
      </c>
      <c r="AC7" s="59">
        <f t="shared" si="3"/>
        <v>0</v>
      </c>
      <c r="AD7" s="59">
        <f t="shared" si="3"/>
        <v>0</v>
      </c>
      <c r="AE7" s="59">
        <f t="shared" si="3"/>
        <v>0</v>
      </c>
      <c r="AF7" s="59">
        <f t="shared" si="3"/>
        <v>0</v>
      </c>
      <c r="AG7" s="59">
        <f t="shared" si="3"/>
        <v>0</v>
      </c>
      <c r="AH7" s="59">
        <f t="shared" si="3"/>
        <v>20889.754300000001</v>
      </c>
      <c r="AI7" s="59">
        <f t="shared" si="3"/>
        <v>0</v>
      </c>
      <c r="AJ7" s="59">
        <f t="shared" si="3"/>
        <v>0</v>
      </c>
      <c r="AK7" s="59">
        <f t="shared" si="3"/>
        <v>0</v>
      </c>
      <c r="AL7" s="59">
        <f t="shared" si="3"/>
        <v>0</v>
      </c>
      <c r="AM7" s="59">
        <f t="shared" si="3"/>
        <v>6096.3559999999998</v>
      </c>
      <c r="AN7" s="23"/>
      <c r="AO7" s="59"/>
      <c r="AP7" s="23"/>
      <c r="AQ7" s="23"/>
      <c r="AR7" s="23"/>
      <c r="AS7" s="23"/>
      <c r="AT7" s="23"/>
      <c r="AU7" s="23"/>
      <c r="AV7" s="23"/>
      <c r="AW7" s="23"/>
      <c r="AX7" s="23"/>
      <c r="AY7" s="23"/>
      <c r="AZ7" s="23"/>
      <c r="BA7" s="23"/>
    </row>
    <row r="8" spans="1:53" ht="18" customHeight="1">
      <c r="A8" s="98"/>
      <c r="B8" s="60" t="s">
        <v>134</v>
      </c>
      <c r="C8" s="62" t="s">
        <v>256</v>
      </c>
      <c r="D8" s="13">
        <f t="shared" si="2"/>
        <v>25014.799999999999</v>
      </c>
      <c r="E8" s="245">
        <v>13242.950800000001</v>
      </c>
      <c r="F8" s="245">
        <v>5675.4931999999999</v>
      </c>
      <c r="G8" s="245">
        <v>0</v>
      </c>
      <c r="H8" s="245">
        <v>0</v>
      </c>
      <c r="I8" s="245">
        <v>0</v>
      </c>
      <c r="J8" s="245">
        <v>0</v>
      </c>
      <c r="K8" s="245">
        <v>0</v>
      </c>
      <c r="L8" s="245">
        <v>0</v>
      </c>
      <c r="M8" s="245">
        <v>0</v>
      </c>
      <c r="N8" s="245">
        <v>0</v>
      </c>
      <c r="O8" s="245">
        <v>0</v>
      </c>
      <c r="P8" s="245">
        <v>0</v>
      </c>
      <c r="Q8" s="245">
        <v>0</v>
      </c>
      <c r="R8" s="245">
        <v>0</v>
      </c>
      <c r="S8" s="245">
        <v>0</v>
      </c>
      <c r="T8" s="245">
        <v>0</v>
      </c>
      <c r="U8" s="245">
        <v>0</v>
      </c>
      <c r="V8" s="245">
        <v>0</v>
      </c>
      <c r="W8" s="245">
        <v>0</v>
      </c>
      <c r="X8" s="245">
        <v>0</v>
      </c>
      <c r="Y8" s="245">
        <v>0</v>
      </c>
      <c r="Z8" s="245">
        <v>0</v>
      </c>
      <c r="AA8" s="245">
        <v>0</v>
      </c>
      <c r="AB8" s="245">
        <v>0</v>
      </c>
      <c r="AC8" s="245">
        <v>0</v>
      </c>
      <c r="AD8" s="245">
        <v>0</v>
      </c>
      <c r="AE8" s="245">
        <v>0</v>
      </c>
      <c r="AF8" s="245">
        <v>0</v>
      </c>
      <c r="AG8" s="245">
        <v>0</v>
      </c>
      <c r="AH8" s="245">
        <v>0</v>
      </c>
      <c r="AI8" s="245">
        <v>0</v>
      </c>
      <c r="AJ8" s="245">
        <v>0</v>
      </c>
      <c r="AK8" s="245">
        <v>0</v>
      </c>
      <c r="AL8" s="245">
        <v>0</v>
      </c>
      <c r="AM8" s="245">
        <v>6096.3559999999998</v>
      </c>
      <c r="AO8" s="152">
        <v>3.6499999999999998E-2</v>
      </c>
    </row>
    <row r="9" spans="1:53" ht="18" customHeight="1">
      <c r="A9" s="98"/>
      <c r="B9" s="60" t="s">
        <v>135</v>
      </c>
      <c r="C9" s="62" t="s">
        <v>257</v>
      </c>
      <c r="D9" s="13">
        <f t="shared" si="2"/>
        <v>47205.8</v>
      </c>
      <c r="E9" s="123">
        <v>7581.4</v>
      </c>
      <c r="F9" s="123">
        <v>39624.400000000001</v>
      </c>
      <c r="G9" s="123">
        <v>0</v>
      </c>
      <c r="H9" s="123">
        <v>0</v>
      </c>
      <c r="I9" s="123">
        <v>0</v>
      </c>
      <c r="J9" s="123">
        <v>0</v>
      </c>
      <c r="K9" s="123">
        <v>0</v>
      </c>
      <c r="L9" s="123">
        <v>0</v>
      </c>
      <c r="M9" s="123">
        <v>0</v>
      </c>
      <c r="N9" s="123">
        <v>0</v>
      </c>
      <c r="O9" s="123">
        <v>0</v>
      </c>
      <c r="P9" s="123">
        <v>0</v>
      </c>
      <c r="Q9" s="123">
        <v>0</v>
      </c>
      <c r="R9" s="123">
        <v>0</v>
      </c>
      <c r="S9" s="123">
        <v>0</v>
      </c>
      <c r="T9" s="123">
        <v>0</v>
      </c>
      <c r="U9" s="123">
        <v>0</v>
      </c>
      <c r="V9" s="123">
        <v>0</v>
      </c>
      <c r="W9" s="123">
        <v>0</v>
      </c>
      <c r="X9" s="123">
        <v>0</v>
      </c>
      <c r="Y9" s="123">
        <v>0</v>
      </c>
      <c r="Z9" s="123">
        <v>0</v>
      </c>
      <c r="AA9" s="123">
        <v>0</v>
      </c>
      <c r="AB9" s="123">
        <v>0</v>
      </c>
      <c r="AC9" s="123">
        <v>0</v>
      </c>
      <c r="AD9" s="123">
        <v>0</v>
      </c>
      <c r="AE9" s="123">
        <v>0</v>
      </c>
      <c r="AF9" s="123">
        <v>0</v>
      </c>
      <c r="AG9" s="123">
        <v>0</v>
      </c>
      <c r="AH9" s="123">
        <v>0</v>
      </c>
      <c r="AI9" s="123">
        <v>0</v>
      </c>
      <c r="AJ9" s="123">
        <v>0</v>
      </c>
      <c r="AK9" s="123">
        <v>0</v>
      </c>
      <c r="AL9" s="123">
        <v>0</v>
      </c>
      <c r="AM9" s="123">
        <v>0</v>
      </c>
      <c r="AO9" s="152">
        <v>3.6499999999999998E-2</v>
      </c>
    </row>
    <row r="10" spans="1:53" ht="18" customHeight="1">
      <c r="A10" s="98"/>
      <c r="B10" s="60" t="s">
        <v>136</v>
      </c>
      <c r="C10" s="62" t="s">
        <v>283</v>
      </c>
      <c r="D10" s="13">
        <f t="shared" si="2"/>
        <v>2415.4458225121998</v>
      </c>
      <c r="E10" s="413">
        <f>IF('Painel de Controle'!$H$31="Pleito 3",'Exclusões de M&amp;E'!F22,IF('Painel de Controle'!$H$31="Pleito 6",'Exclusões de M&amp;E'!F23,'Exclusões de M&amp;E'!F21))</f>
        <v>0</v>
      </c>
      <c r="F10" s="413">
        <f>IF('Painel de Controle'!$H$31="Pleito 3",'Exclusões de M&amp;E'!G22,IF('Painel de Controle'!$H$31="Pleito 6",'Exclusões de M&amp;E'!G23,'Exclusões de M&amp;E'!G21))</f>
        <v>0</v>
      </c>
      <c r="G10" s="413">
        <f>IF('Painel de Controle'!$H$31="Pleito 3",'Exclusões de M&amp;E'!H22,IF('Painel de Controle'!$H$31="Pleito 6",'Exclusões de M&amp;E'!H23,'Exclusões de M&amp;E'!H21))</f>
        <v>0</v>
      </c>
      <c r="H10" s="413">
        <f>IF('Painel de Controle'!$H$31="Pleito 3",'Exclusões de M&amp;E'!I22,IF('Painel de Controle'!$H$31="Pleito 6",'Exclusões de M&amp;E'!I23,'Exclusões de M&amp;E'!I21))</f>
        <v>0</v>
      </c>
      <c r="I10" s="413">
        <f>IF('Painel de Controle'!$H$31="Pleito 3",'Exclusões de M&amp;E'!J22,IF('Painel de Controle'!$H$31="Pleito 6",'Exclusões de M&amp;E'!J23,'Exclusões de M&amp;E'!J21))</f>
        <v>0</v>
      </c>
      <c r="J10" s="413">
        <f>IF('Painel de Controle'!$H$31="Pleito 3",'Exclusões de M&amp;E'!K22,IF('Painel de Controle'!$H$31="Pleito 6",'Exclusões de M&amp;E'!K23,'Exclusões de M&amp;E'!K21))</f>
        <v>0</v>
      </c>
      <c r="K10" s="413">
        <f>IF('Painel de Controle'!$H$31="Pleito 3",'Exclusões de M&amp;E'!L22,IF('Painel de Controle'!$H$31="Pleito 6",'Exclusões de M&amp;E'!L23,'Exclusões de M&amp;E'!L21))</f>
        <v>0</v>
      </c>
      <c r="L10" s="413">
        <f>IF('Painel de Controle'!$H$31="Pleito 3",'Exclusões de M&amp;E'!M22,IF('Painel de Controle'!$H$31="Pleito 6",'Exclusões de M&amp;E'!M23,'Exclusões de M&amp;E'!M21))</f>
        <v>0</v>
      </c>
      <c r="M10" s="413">
        <f>IF('Painel de Controle'!$H$31="Pleito 3",'Exclusões de M&amp;E'!N22,IF('Painel de Controle'!$H$31="Pleito 6",'Exclusões de M&amp;E'!N23,'Exclusões de M&amp;E'!N21))</f>
        <v>0</v>
      </c>
      <c r="N10" s="413">
        <f>IF('Painel de Controle'!$H$31="Pleito 3",'Exclusões de M&amp;E'!O22,IF('Painel de Controle'!$H$31="Pleito 6",'Exclusões de M&amp;E'!O23,'Exclusões de M&amp;E'!O21))</f>
        <v>0</v>
      </c>
      <c r="O10" s="413">
        <f>IF('Painel de Controle'!$H$31="Pleito 3",'Exclusões de M&amp;E'!P22,IF('Painel de Controle'!$H$31="Pleito 6",'Exclusões de M&amp;E'!P23,'Exclusões de M&amp;E'!P21))</f>
        <v>0</v>
      </c>
      <c r="P10" s="413">
        <f>IF('Painel de Controle'!$H$31="Pleito 3",'Exclusões de M&amp;E'!Q22,IF('Painel de Controle'!$H$31="Pleito 6",'Exclusões de M&amp;E'!Q23,'Exclusões de M&amp;E'!Q21))</f>
        <v>0</v>
      </c>
      <c r="Q10" s="413">
        <f>IF('Painel de Controle'!$H$31="Pleito 3",'Exclusões de M&amp;E'!R22,IF('Painel de Controle'!$H$31="Pleito 6",'Exclusões de M&amp;E'!R23,'Exclusões de M&amp;E'!R21))</f>
        <v>0</v>
      </c>
      <c r="R10" s="413">
        <f>IF('Painel de Controle'!$H$31="Pleito 3",'Exclusões de M&amp;E'!S22,IF('Painel de Controle'!$H$31="Pleito 6",'Exclusões de M&amp;E'!S23,'Exclusões de M&amp;E'!S21))</f>
        <v>0</v>
      </c>
      <c r="S10" s="413">
        <f>IF('Painel de Controle'!$H$31="Pleito 3",'Exclusões de M&amp;E'!T22,IF('Painel de Controle'!$H$31="Pleito 6",'Exclusões de M&amp;E'!T23,'Exclusões de M&amp;E'!T21))</f>
        <v>2415.4458225121998</v>
      </c>
      <c r="T10" s="413">
        <f>IF('Painel de Controle'!$H$31="Pleito 3",'Exclusões de M&amp;E'!U22,IF('Painel de Controle'!$H$31="Pleito 6",'Exclusões de M&amp;E'!U23,'Exclusões de M&amp;E'!U21))</f>
        <v>0</v>
      </c>
      <c r="U10" s="413">
        <f>IF('Painel de Controle'!$H$31="Pleito 3",'Exclusões de M&amp;E'!V22,IF('Painel de Controle'!$H$31="Pleito 6",'Exclusões de M&amp;E'!V23,'Exclusões de M&amp;E'!V21))</f>
        <v>0</v>
      </c>
      <c r="V10" s="413">
        <f>IF('Painel de Controle'!$H$31="Pleito 3",'Exclusões de M&amp;E'!W22,IF('Painel de Controle'!$H$31="Pleito 6",'Exclusões de M&amp;E'!W23,'Exclusões de M&amp;E'!W21))</f>
        <v>0</v>
      </c>
      <c r="W10" s="413">
        <f>IF('Painel de Controle'!$H$31="Pleito 3",'Exclusões de M&amp;E'!X22,IF('Painel de Controle'!$H$31="Pleito 6",'Exclusões de M&amp;E'!X23,'Exclusões de M&amp;E'!X21))</f>
        <v>0</v>
      </c>
      <c r="X10" s="413">
        <f>IF('Painel de Controle'!$H$31="Pleito 3",'Exclusões de M&amp;E'!Y22,IF('Painel de Controle'!$H$31="Pleito 6",'Exclusões de M&amp;E'!Y23,'Exclusões de M&amp;E'!Y21))</f>
        <v>0</v>
      </c>
      <c r="Y10" s="413">
        <f>IF('Painel de Controle'!$H$31="Pleito 3",'Exclusões de M&amp;E'!Z22,IF('Painel de Controle'!$H$31="Pleito 6",'Exclusões de M&amp;E'!Z23,'Exclusões de M&amp;E'!Z21))</f>
        <v>0</v>
      </c>
      <c r="Z10" s="413">
        <f>IF('Painel de Controle'!$H$31="Pleito 3",'Exclusões de M&amp;E'!AA22,IF('Painel de Controle'!$H$31="Pleito 6",'Exclusões de M&amp;E'!AA23,'Exclusões de M&amp;E'!AA21))</f>
        <v>0</v>
      </c>
      <c r="AA10" s="413">
        <f>IF('Painel de Controle'!$H$31="Pleito 3",'Exclusões de M&amp;E'!AB22,IF('Painel de Controle'!$H$31="Pleito 6",'Exclusões de M&amp;E'!AB23,'Exclusões de M&amp;E'!AB21))</f>
        <v>0</v>
      </c>
      <c r="AB10" s="413">
        <f>IF('Painel de Controle'!$H$31="Pleito 3",'Exclusões de M&amp;E'!AC22,IF('Painel de Controle'!$H$31="Pleito 6",'Exclusões de M&amp;E'!AC23,'Exclusões de M&amp;E'!AC21))</f>
        <v>0</v>
      </c>
      <c r="AC10" s="413">
        <f>IF('Painel de Controle'!$H$31="Pleito 3",'Exclusões de M&amp;E'!AD22,IF('Painel de Controle'!$H$31="Pleito 6",'Exclusões de M&amp;E'!AD23,'Exclusões de M&amp;E'!AD21))</f>
        <v>0</v>
      </c>
      <c r="AD10" s="413">
        <f>IF('Painel de Controle'!$H$31="Pleito 3",'Exclusões de M&amp;E'!AE22,IF('Painel de Controle'!$H$31="Pleito 6",'Exclusões de M&amp;E'!AE23,'Exclusões de M&amp;E'!AE21))</f>
        <v>0</v>
      </c>
      <c r="AE10" s="413">
        <f>IF('Painel de Controle'!$H$31="Pleito 3",'Exclusões de M&amp;E'!AF22,IF('Painel de Controle'!$H$31="Pleito 6",'Exclusões de M&amp;E'!AF23,'Exclusões de M&amp;E'!AF21))</f>
        <v>0</v>
      </c>
      <c r="AF10" s="413">
        <f>IF('Painel de Controle'!$H$31="Pleito 3",'Exclusões de M&amp;E'!AG22,IF('Painel de Controle'!$H$31="Pleito 6",'Exclusões de M&amp;E'!AG23,'Exclusões de M&amp;E'!AG21))</f>
        <v>0</v>
      </c>
      <c r="AG10" s="413">
        <f>IF('Painel de Controle'!$H$31="Pleito 3",'Exclusões de M&amp;E'!AH22,IF('Painel de Controle'!$H$31="Pleito 6",'Exclusões de M&amp;E'!AH23,'Exclusões de M&amp;E'!AH21))</f>
        <v>0</v>
      </c>
      <c r="AH10" s="413">
        <f>IF('Painel de Controle'!$H$31="Pleito 3",'Exclusões de M&amp;E'!AI22,IF('Painel de Controle'!$H$31="Pleito 6",'Exclusões de M&amp;E'!AI23,'Exclusões de M&amp;E'!AI21))</f>
        <v>0</v>
      </c>
      <c r="AI10" s="413">
        <f>IF('Painel de Controle'!$H$31="Pleito 3",'Exclusões de M&amp;E'!AJ22,IF('Painel de Controle'!$H$31="Pleito 6",'Exclusões de M&amp;E'!AJ23,'Exclusões de M&amp;E'!AJ21))</f>
        <v>0</v>
      </c>
      <c r="AJ10" s="413">
        <f>IF('Painel de Controle'!$H$31="Pleito 3",'Exclusões de M&amp;E'!AK22,IF('Painel de Controle'!$H$31="Pleito 6",'Exclusões de M&amp;E'!AK23,'Exclusões de M&amp;E'!AK21))</f>
        <v>0</v>
      </c>
      <c r="AK10" s="413">
        <f>IF('Painel de Controle'!$H$31="Pleito 3",'Exclusões de M&amp;E'!AL22,IF('Painel de Controle'!$H$31="Pleito 6",'Exclusões de M&amp;E'!AL23,'Exclusões de M&amp;E'!AL21))</f>
        <v>0</v>
      </c>
      <c r="AL10" s="413">
        <f>IF('Painel de Controle'!$H$31="Pleito 3",'Exclusões de M&amp;E'!AM22,IF('Painel de Controle'!$H$31="Pleito 6",'Exclusões de M&amp;E'!AM23,'Exclusões de M&amp;E'!AM21))</f>
        <v>0</v>
      </c>
      <c r="AM10" s="413">
        <f>IF('Painel de Controle'!$H$31="Pleito 3",'Exclusões de M&amp;E'!AN22,IF('Painel de Controle'!$H$31="Pleito 6",'Exclusões de M&amp;E'!AN23,'Exclusões de M&amp;E'!AN21))</f>
        <v>0</v>
      </c>
      <c r="AO10" s="152">
        <v>3.6499999999999998E-2</v>
      </c>
    </row>
    <row r="11" spans="1:53" ht="18" customHeight="1">
      <c r="A11" s="98"/>
      <c r="B11" s="60" t="s">
        <v>137</v>
      </c>
      <c r="C11" s="62" t="s">
        <v>258</v>
      </c>
      <c r="D11" s="13">
        <f t="shared" si="2"/>
        <v>20889.754300000001</v>
      </c>
      <c r="E11" s="413">
        <f>IF('Painel de Controle'!$H$19="pleito 5",'Exclusões de M&amp;E'!F66,IF('Painel de Controle'!$H$19="pleito 7",'Exclusões de M&amp;E'!F67,'Exclusões de M&amp;E'!F65))</f>
        <v>0</v>
      </c>
      <c r="F11" s="413">
        <f>IF('Painel de Controle'!$H$19="pleito 5",'Exclusões de M&amp;E'!G66,IF('Painel de Controle'!$H$19="pleito 7",'Exclusões de M&amp;E'!G67,'Exclusões de M&amp;E'!G65))</f>
        <v>0</v>
      </c>
      <c r="G11" s="413">
        <f>IF('Painel de Controle'!$H$19="pleito 5",'Exclusões de M&amp;E'!H66,IF('Painel de Controle'!$H$19="pleito 7",'Exclusões de M&amp;E'!H67,'Exclusões de M&amp;E'!H65))</f>
        <v>0</v>
      </c>
      <c r="H11" s="413">
        <f>IF('Painel de Controle'!$H$19="pleito 5",'Exclusões de M&amp;E'!I66,IF('Painel de Controle'!$H$19="pleito 7",'Exclusões de M&amp;E'!I67,'Exclusões de M&amp;E'!I65))</f>
        <v>0</v>
      </c>
      <c r="I11" s="413">
        <f>IF('Painel de Controle'!$H$19="pleito 5",'Exclusões de M&amp;E'!J66,IF('Painel de Controle'!$H$19="pleito 7",'Exclusões de M&amp;E'!J67,'Exclusões de M&amp;E'!J65))</f>
        <v>0</v>
      </c>
      <c r="J11" s="413">
        <f>IF('Painel de Controle'!$H$19="pleito 5",'Exclusões de M&amp;E'!K66,IF('Painel de Controle'!$H$19="pleito 7",'Exclusões de M&amp;E'!K67,'Exclusões de M&amp;E'!K65))</f>
        <v>0</v>
      </c>
      <c r="K11" s="413">
        <f>IF('Painel de Controle'!$H$19="pleito 5",'Exclusões de M&amp;E'!L66,IF('Painel de Controle'!$H$19="pleito 7",'Exclusões de M&amp;E'!L67,'Exclusões de M&amp;E'!L65))</f>
        <v>0</v>
      </c>
      <c r="L11" s="413">
        <f>IF('Painel de Controle'!$H$19="pleito 5",'Exclusões de M&amp;E'!M66,IF('Painel de Controle'!$H$19="pleito 7",'Exclusões de M&amp;E'!M67,'Exclusões de M&amp;E'!M65))</f>
        <v>0</v>
      </c>
      <c r="M11" s="413">
        <f>IF('Painel de Controle'!$H$19="pleito 5",'Exclusões de M&amp;E'!N66,IF('Painel de Controle'!$H$19="pleito 7",'Exclusões de M&amp;E'!N67,'Exclusões de M&amp;E'!N65))</f>
        <v>0</v>
      </c>
      <c r="N11" s="413">
        <f>IF('Painel de Controle'!$H$19="pleito 5",'Exclusões de M&amp;E'!O66,IF('Painel de Controle'!$H$19="pleito 7",'Exclusões de M&amp;E'!O67,'Exclusões de M&amp;E'!O65))</f>
        <v>0</v>
      </c>
      <c r="O11" s="413">
        <f>IF('Painel de Controle'!$H$19="pleito 5",'Exclusões de M&amp;E'!P66,IF('Painel de Controle'!$H$19="pleito 7",'Exclusões de M&amp;E'!P67,'Exclusões de M&amp;E'!P65))</f>
        <v>0</v>
      </c>
      <c r="P11" s="413">
        <f>IF('Painel de Controle'!$H$19="pleito 5",'Exclusões de M&amp;E'!Q66,IF('Painel de Controle'!$H$19="pleito 7",'Exclusões de M&amp;E'!Q67,'Exclusões de M&amp;E'!Q65))</f>
        <v>0</v>
      </c>
      <c r="Q11" s="413">
        <f>IF('Painel de Controle'!$H$19="pleito 5",'Exclusões de M&amp;E'!R66,IF('Painel de Controle'!$H$19="pleito 7",'Exclusões de M&amp;E'!R67,'Exclusões de M&amp;E'!R65))</f>
        <v>0</v>
      </c>
      <c r="R11" s="413">
        <f>IF('Painel de Controle'!$H$19="pleito 5",'Exclusões de M&amp;E'!S66,IF('Painel de Controle'!$H$19="pleito 7",'Exclusões de M&amp;E'!S67,'Exclusões de M&amp;E'!S65))</f>
        <v>0</v>
      </c>
      <c r="S11" s="413">
        <f>IF('Painel de Controle'!$H$19="pleito 5",'Exclusões de M&amp;E'!T66,IF('Painel de Controle'!$H$19="pleito 7",'Exclusões de M&amp;E'!T67,'Exclusões de M&amp;E'!T65))</f>
        <v>0</v>
      </c>
      <c r="T11" s="413">
        <f>IF('Painel de Controle'!$H$19="pleito 5",'Exclusões de M&amp;E'!U66,IF('Painel de Controle'!$H$19="pleito 7",'Exclusões de M&amp;E'!U67,'Exclusões de M&amp;E'!U65))</f>
        <v>0</v>
      </c>
      <c r="U11" s="413">
        <f>IF('Painel de Controle'!$H$19="pleito 5",'Exclusões de M&amp;E'!V66,IF('Painel de Controle'!$H$19="pleito 7",'Exclusões de M&amp;E'!V67,'Exclusões de M&amp;E'!V65))</f>
        <v>0</v>
      </c>
      <c r="V11" s="413">
        <f>IF('Painel de Controle'!$H$19="pleito 5",'Exclusões de M&amp;E'!W66,IF('Painel de Controle'!$H$19="pleito 7",'Exclusões de M&amp;E'!W67,'Exclusões de M&amp;E'!W65))</f>
        <v>0</v>
      </c>
      <c r="W11" s="413">
        <f>IF('Painel de Controle'!$H$19="pleito 5",'Exclusões de M&amp;E'!X66,IF('Painel de Controle'!$H$19="pleito 7",'Exclusões de M&amp;E'!X67,'Exclusões de M&amp;E'!X65))</f>
        <v>0</v>
      </c>
      <c r="X11" s="413">
        <f>IF('Painel de Controle'!$H$19="pleito 5",'Exclusões de M&amp;E'!Y66,IF('Painel de Controle'!$H$19="pleito 7",'Exclusões de M&amp;E'!Y67,'Exclusões de M&amp;E'!Y65))</f>
        <v>0</v>
      </c>
      <c r="Y11" s="413">
        <f>IF('Painel de Controle'!$H$19="pleito 5",'Exclusões de M&amp;E'!Z66,IF('Painel de Controle'!$H$19="pleito 7",'Exclusões de M&amp;E'!Z67,'Exclusões de M&amp;E'!Z65))</f>
        <v>0</v>
      </c>
      <c r="Z11" s="413">
        <f>IF('Painel de Controle'!$H$19="pleito 5",'Exclusões de M&amp;E'!AA66,IF('Painel de Controle'!$H$19="pleito 7",'Exclusões de M&amp;E'!AA67,'Exclusões de M&amp;E'!AA65))</f>
        <v>0</v>
      </c>
      <c r="AA11" s="413">
        <f>IF('Painel de Controle'!$H$19="pleito 5",'Exclusões de M&amp;E'!AB66,IF('Painel de Controle'!$H$19="pleito 7",'Exclusões de M&amp;E'!AB67,'Exclusões de M&amp;E'!AB65))</f>
        <v>0</v>
      </c>
      <c r="AB11" s="413">
        <f>IF('Painel de Controle'!$H$19="pleito 5",'Exclusões de M&amp;E'!AC66,IF('Painel de Controle'!$H$19="pleito 7",'Exclusões de M&amp;E'!AC67,'Exclusões de M&amp;E'!AC65))</f>
        <v>0</v>
      </c>
      <c r="AC11" s="413">
        <f>IF('Painel de Controle'!$H$19="pleito 5",'Exclusões de M&amp;E'!AD66,IF('Painel de Controle'!$H$19="pleito 7",'Exclusões de M&amp;E'!AD67,'Exclusões de M&amp;E'!AD65))</f>
        <v>0</v>
      </c>
      <c r="AD11" s="413">
        <f>IF('Painel de Controle'!$H$19="pleito 5",'Exclusões de M&amp;E'!AE66,IF('Painel de Controle'!$H$19="pleito 7",'Exclusões de M&amp;E'!AE67,'Exclusões de M&amp;E'!AE65))</f>
        <v>0</v>
      </c>
      <c r="AE11" s="413">
        <f>IF('Painel de Controle'!$H$19="pleito 5",'Exclusões de M&amp;E'!AF66,IF('Painel de Controle'!$H$19="pleito 7",'Exclusões de M&amp;E'!AF67,'Exclusões de M&amp;E'!AF65))</f>
        <v>0</v>
      </c>
      <c r="AF11" s="413">
        <f>IF('Painel de Controle'!$H$19="pleito 5",'Exclusões de M&amp;E'!AG66,IF('Painel de Controle'!$H$19="pleito 7",'Exclusões de M&amp;E'!AG67,'Exclusões de M&amp;E'!AG65))</f>
        <v>0</v>
      </c>
      <c r="AG11" s="413">
        <f>IF('Painel de Controle'!$H$19="pleito 5",'Exclusões de M&amp;E'!AH66,IF('Painel de Controle'!$H$19="pleito 7",'Exclusões de M&amp;E'!AH67,'Exclusões de M&amp;E'!AH65))</f>
        <v>0</v>
      </c>
      <c r="AH11" s="413">
        <f>IF('Painel de Controle'!$H$19="pleito 5",'Exclusões de M&amp;E'!AI66,IF('Painel de Controle'!$H$19="pleito 7",'Exclusões de M&amp;E'!AI67,'Exclusões de M&amp;E'!AI65))</f>
        <v>20889.754300000001</v>
      </c>
      <c r="AI11" s="413">
        <f>IF('Painel de Controle'!$H$19="pleito 5",'Exclusões de M&amp;E'!AJ66,IF('Painel de Controle'!$H$19="pleito 7",'Exclusões de M&amp;E'!AJ67,'Exclusões de M&amp;E'!AJ65))</f>
        <v>0</v>
      </c>
      <c r="AJ11" s="413">
        <f>IF('Painel de Controle'!$H$19="pleito 5",'Exclusões de M&amp;E'!AK66,IF('Painel de Controle'!$H$19="pleito 7",'Exclusões de M&amp;E'!AK67,'Exclusões de M&amp;E'!AK65))</f>
        <v>0</v>
      </c>
      <c r="AK11" s="413">
        <f>IF('Painel de Controle'!$H$19="pleito 5",'Exclusões de M&amp;E'!AL66,IF('Painel de Controle'!$H$19="pleito 7",'Exclusões de M&amp;E'!AL67,'Exclusões de M&amp;E'!AL65))</f>
        <v>0</v>
      </c>
      <c r="AL11" s="413">
        <f>IF('Painel de Controle'!$H$19="pleito 5",'Exclusões de M&amp;E'!AM66,IF('Painel de Controle'!$H$19="pleito 7",'Exclusões de M&amp;E'!AM67,'Exclusões de M&amp;E'!AM65))</f>
        <v>0</v>
      </c>
      <c r="AM11" s="413">
        <f>IF('Painel de Controle'!$H$19="pleito 5",'Exclusões de M&amp;E'!AN66,IF('Painel de Controle'!$H$19="pleito 7",'Exclusões de M&amp;E'!AN67,'Exclusões de M&amp;E'!AN65))</f>
        <v>0</v>
      </c>
      <c r="AO11" s="152">
        <v>3.6499999999999998E-2</v>
      </c>
    </row>
    <row r="12" spans="1:53" ht="18" customHeight="1">
      <c r="A12" s="98"/>
      <c r="B12" s="60" t="s">
        <v>282</v>
      </c>
      <c r="C12" s="62" t="s">
        <v>259</v>
      </c>
      <c r="D12" s="13">
        <f t="shared" si="2"/>
        <v>81622</v>
      </c>
      <c r="E12" s="245">
        <v>32324</v>
      </c>
      <c r="F12" s="245">
        <v>49298</v>
      </c>
      <c r="G12" s="123">
        <v>0</v>
      </c>
      <c r="H12" s="123">
        <v>0</v>
      </c>
      <c r="I12" s="123">
        <v>0</v>
      </c>
      <c r="J12" s="123">
        <v>0</v>
      </c>
      <c r="K12" s="123">
        <v>0</v>
      </c>
      <c r="L12" s="123">
        <v>0</v>
      </c>
      <c r="M12" s="123">
        <v>0</v>
      </c>
      <c r="N12" s="123">
        <v>0</v>
      </c>
      <c r="O12" s="123">
        <v>0</v>
      </c>
      <c r="P12" s="123">
        <v>0</v>
      </c>
      <c r="Q12" s="123">
        <v>0</v>
      </c>
      <c r="R12" s="123">
        <v>0</v>
      </c>
      <c r="S12" s="123">
        <v>0</v>
      </c>
      <c r="T12" s="123">
        <v>0</v>
      </c>
      <c r="U12" s="123">
        <v>0</v>
      </c>
      <c r="V12" s="123">
        <v>0</v>
      </c>
      <c r="W12" s="123">
        <v>0</v>
      </c>
      <c r="X12" s="123">
        <v>0</v>
      </c>
      <c r="Y12" s="123">
        <v>0</v>
      </c>
      <c r="Z12" s="123">
        <v>0</v>
      </c>
      <c r="AA12" s="123">
        <v>0</v>
      </c>
      <c r="AB12" s="123">
        <v>0</v>
      </c>
      <c r="AC12" s="123">
        <v>0</v>
      </c>
      <c r="AD12" s="123">
        <v>0</v>
      </c>
      <c r="AE12" s="123">
        <v>0</v>
      </c>
      <c r="AF12" s="123">
        <v>0</v>
      </c>
      <c r="AG12" s="123">
        <v>0</v>
      </c>
      <c r="AH12" s="123">
        <v>0</v>
      </c>
      <c r="AI12" s="123">
        <v>0</v>
      </c>
      <c r="AJ12" s="123">
        <v>0</v>
      </c>
      <c r="AK12" s="123">
        <v>0</v>
      </c>
      <c r="AL12" s="123">
        <v>0</v>
      </c>
      <c r="AM12" s="123">
        <v>0</v>
      </c>
      <c r="AO12" s="152">
        <v>3.6499999999999998E-2</v>
      </c>
    </row>
    <row r="13" spans="1:53" ht="18" customHeight="1">
      <c r="A13" s="98"/>
      <c r="B13" s="60"/>
      <c r="C13" s="62" t="s">
        <v>487</v>
      </c>
      <c r="D13" s="13">
        <f t="shared" si="2"/>
        <v>0</v>
      </c>
      <c r="E13" s="462">
        <f>IF('Painel de Controle'!$D$37=QDE!E3,'Painel de Controle'!$D$36,0)</f>
        <v>0</v>
      </c>
      <c r="F13" s="462">
        <f>IF('Painel de Controle'!$D$37=QDE!F3,'Painel de Controle'!$D$36,0)</f>
        <v>0</v>
      </c>
      <c r="G13" s="463">
        <f>IF('Painel de Controle'!$D$37=QDE!G3,'Painel de Controle'!$D$36,0)</f>
        <v>0</v>
      </c>
      <c r="H13" s="463">
        <f>IF('Painel de Controle'!$D$37=QDE!H3,'Painel de Controle'!$D$36,0)</f>
        <v>0</v>
      </c>
      <c r="I13" s="463">
        <f>IF('Painel de Controle'!$D$37=QDE!I3,'Painel de Controle'!$D$36,0)</f>
        <v>0</v>
      </c>
      <c r="J13" s="463">
        <f>IF('Painel de Controle'!$D$37=QDE!J3,'Painel de Controle'!$D$36,0)</f>
        <v>0</v>
      </c>
      <c r="K13" s="463">
        <f>IF('Painel de Controle'!$D$37=QDE!K3,'Painel de Controle'!$D$36,0)</f>
        <v>0</v>
      </c>
      <c r="L13" s="463">
        <f>IF('Painel de Controle'!$D$37=QDE!L3,'Painel de Controle'!$D$36,0)</f>
        <v>0</v>
      </c>
      <c r="M13" s="463">
        <f>IF('Painel de Controle'!$D$37=QDE!M3,'Painel de Controle'!$D$36,0)</f>
        <v>0</v>
      </c>
      <c r="N13" s="463">
        <f>IF('Painel de Controle'!$D$37=QDE!N3,'Painel de Controle'!$D$36,0)</f>
        <v>0</v>
      </c>
      <c r="O13" s="463">
        <f>IF('Painel de Controle'!$D$37=QDE!O3,'Painel de Controle'!$D$36,0)</f>
        <v>0</v>
      </c>
      <c r="P13" s="463">
        <f>IF('Painel de Controle'!$D$37=QDE!P3,'Painel de Controle'!$D$36,0)</f>
        <v>0</v>
      </c>
      <c r="Q13" s="463">
        <f>IF('Painel de Controle'!$D$37=QDE!Q3,'Painel de Controle'!$D$36,0)</f>
        <v>0</v>
      </c>
      <c r="R13" s="463">
        <f>IF('Painel de Controle'!$D$37=QDE!R3,'Painel de Controle'!$D$36,0)</f>
        <v>0</v>
      </c>
      <c r="S13" s="463">
        <f>IF('Painel de Controle'!$D$37=QDE!S3,'Painel de Controle'!$D$36,0)</f>
        <v>0</v>
      </c>
      <c r="T13" s="463">
        <f>IF('Painel de Controle'!$D$37=QDE!T3,'Painel de Controle'!$D$36,0)</f>
        <v>0</v>
      </c>
      <c r="U13" s="463">
        <f>IF('Painel de Controle'!$D$37=QDE!U3,'Painel de Controle'!$D$36,0)</f>
        <v>0</v>
      </c>
      <c r="V13" s="463">
        <f>IF('Painel de Controle'!$D$37=QDE!V3,'Painel de Controle'!$D$36,0)</f>
        <v>0</v>
      </c>
      <c r="W13" s="463">
        <f>IF('Painel de Controle'!$D$37=QDE!W3,'Painel de Controle'!$D$36,0)</f>
        <v>0</v>
      </c>
      <c r="X13" s="463">
        <f>IF('Painel de Controle'!$D$37=QDE!X3,'Painel de Controle'!$D$36,0)</f>
        <v>0</v>
      </c>
      <c r="Y13" s="463">
        <f>IF('Painel de Controle'!$D$37=QDE!Y3,'Painel de Controle'!$D$36,0)</f>
        <v>0</v>
      </c>
      <c r="Z13" s="463">
        <f>IF('Painel de Controle'!$D$37=QDE!Z3,'Painel de Controle'!$D$36,0)</f>
        <v>0</v>
      </c>
      <c r="AA13" s="463">
        <f>IF('Painel de Controle'!$D$37=QDE!AA3,'Painel de Controle'!$D$36,0)</f>
        <v>0</v>
      </c>
      <c r="AB13" s="463">
        <f>IF('Painel de Controle'!$D$37=QDE!AB3,'Painel de Controle'!$D$36,0)</f>
        <v>0</v>
      </c>
      <c r="AC13" s="463">
        <f>IF('Painel de Controle'!$D$37=QDE!AC3,'Painel de Controle'!$D$36,0)</f>
        <v>0</v>
      </c>
      <c r="AD13" s="463">
        <f>IF('Painel de Controle'!$D$37=QDE!AD3,'Painel de Controle'!$D$36,0)</f>
        <v>0</v>
      </c>
      <c r="AE13" s="463">
        <f>IF('Painel de Controle'!$D$37=QDE!AE3,'Painel de Controle'!$D$36,0)</f>
        <v>0</v>
      </c>
      <c r="AF13" s="463">
        <f>IF('Painel de Controle'!$D$37=QDE!AF3,'Painel de Controle'!$D$36,0)</f>
        <v>0</v>
      </c>
      <c r="AG13" s="463">
        <f>IF('Painel de Controle'!$D$37=QDE!AG3,'Painel de Controle'!$D$36,0)</f>
        <v>0</v>
      </c>
      <c r="AH13" s="463">
        <f>IF('Painel de Controle'!$D$37=QDE!AH3,'Painel de Controle'!$D$36,0)</f>
        <v>0</v>
      </c>
      <c r="AI13" s="463">
        <f>IF('Painel de Controle'!$D$37=QDE!AI3,'Painel de Controle'!$D$36,0)</f>
        <v>0</v>
      </c>
      <c r="AJ13" s="463">
        <f>IF('Painel de Controle'!$D$37=QDE!AJ3,'Painel de Controle'!$D$36,0)</f>
        <v>0</v>
      </c>
      <c r="AK13" s="463">
        <f>IF('Painel de Controle'!$D$37=QDE!AK3,'Painel de Controle'!$D$36,0)</f>
        <v>0</v>
      </c>
      <c r="AL13" s="463">
        <f>IF('Painel de Controle'!$D$37=QDE!AL3,'Painel de Controle'!$D$36,0)</f>
        <v>0</v>
      </c>
      <c r="AM13" s="463">
        <f>IF('Painel de Controle'!$D$37=QDE!AM3,'Painel de Controle'!$D$36,0)</f>
        <v>0</v>
      </c>
      <c r="AO13" s="152"/>
    </row>
    <row r="14" spans="1:53" customFormat="1" ht="24.95" customHeight="1">
      <c r="B14" s="37">
        <v>2</v>
      </c>
      <c r="C14" s="38" t="s">
        <v>197</v>
      </c>
      <c r="D14" s="35">
        <f t="shared" si="0"/>
        <v>54024.366450973161</v>
      </c>
      <c r="E14" s="35">
        <f>E15+E16+E17+E23+E24+E25+E26+E27+E28+E29+E30+E31+E32</f>
        <v>15543.557814472375</v>
      </c>
      <c r="F14" s="35">
        <f>F15+F16+F17+F23+F24+F25+F26+F27+F28+F29+F30+F31+F32</f>
        <v>30346.888711445787</v>
      </c>
      <c r="G14" s="35">
        <f t="shared" ref="G14:AM14" si="4">G15+G16+G17+G23+G24+G25+G26+G27+G28+G29+G30+G31+G32</f>
        <v>0</v>
      </c>
      <c r="H14" s="35">
        <f t="shared" si="4"/>
        <v>0</v>
      </c>
      <c r="I14" s="35">
        <f t="shared" si="4"/>
        <v>0</v>
      </c>
      <c r="J14" s="35">
        <f t="shared" si="4"/>
        <v>0</v>
      </c>
      <c r="K14" s="35">
        <f t="shared" si="4"/>
        <v>0</v>
      </c>
      <c r="L14" s="35">
        <f t="shared" si="4"/>
        <v>0</v>
      </c>
      <c r="M14" s="35">
        <f t="shared" si="4"/>
        <v>0</v>
      </c>
      <c r="N14" s="35">
        <f t="shared" si="4"/>
        <v>0</v>
      </c>
      <c r="O14" s="35">
        <f t="shared" si="4"/>
        <v>0</v>
      </c>
      <c r="P14" s="35">
        <f t="shared" si="4"/>
        <v>0</v>
      </c>
      <c r="Q14" s="35">
        <f t="shared" si="4"/>
        <v>0</v>
      </c>
      <c r="R14" s="35">
        <f t="shared" si="4"/>
        <v>0</v>
      </c>
      <c r="S14" s="35">
        <f t="shared" si="4"/>
        <v>0</v>
      </c>
      <c r="T14" s="35">
        <f t="shared" si="4"/>
        <v>0</v>
      </c>
      <c r="U14" s="35">
        <f t="shared" si="4"/>
        <v>8133.919925055</v>
      </c>
      <c r="V14" s="35">
        <f t="shared" si="4"/>
        <v>0</v>
      </c>
      <c r="W14" s="35">
        <f t="shared" si="4"/>
        <v>0</v>
      </c>
      <c r="X14" s="35">
        <f t="shared" si="4"/>
        <v>0</v>
      </c>
      <c r="Y14" s="35">
        <f t="shared" si="4"/>
        <v>0</v>
      </c>
      <c r="Z14" s="35">
        <f t="shared" si="4"/>
        <v>0</v>
      </c>
      <c r="AA14" s="35">
        <f t="shared" si="4"/>
        <v>0</v>
      </c>
      <c r="AB14" s="35">
        <f t="shared" si="4"/>
        <v>0</v>
      </c>
      <c r="AC14" s="35">
        <f t="shared" si="4"/>
        <v>0</v>
      </c>
      <c r="AD14" s="35">
        <f t="shared" si="4"/>
        <v>0</v>
      </c>
      <c r="AE14" s="35">
        <f t="shared" si="4"/>
        <v>0</v>
      </c>
      <c r="AF14" s="35">
        <f t="shared" si="4"/>
        <v>0</v>
      </c>
      <c r="AG14" s="35">
        <f t="shared" si="4"/>
        <v>0</v>
      </c>
      <c r="AH14" s="35">
        <f t="shared" si="4"/>
        <v>0</v>
      </c>
      <c r="AI14" s="35">
        <f t="shared" si="4"/>
        <v>0</v>
      </c>
      <c r="AJ14" s="35">
        <f t="shared" si="4"/>
        <v>0</v>
      </c>
      <c r="AK14" s="35">
        <f t="shared" si="4"/>
        <v>0</v>
      </c>
      <c r="AL14" s="35">
        <f t="shared" si="4"/>
        <v>0</v>
      </c>
      <c r="AM14" s="35">
        <f t="shared" si="4"/>
        <v>0</v>
      </c>
      <c r="AO14" s="35"/>
    </row>
    <row r="15" spans="1:53" customFormat="1" ht="18" customHeight="1">
      <c r="B15" s="246" t="s">
        <v>176</v>
      </c>
      <c r="C15" s="247" t="s">
        <v>132</v>
      </c>
      <c r="D15" s="59">
        <f t="shared" si="0"/>
        <v>192.70000000000002</v>
      </c>
      <c r="E15" s="59">
        <v>192.70000000000002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  <c r="S15" s="59">
        <v>0</v>
      </c>
      <c r="T15" s="59">
        <v>0</v>
      </c>
      <c r="U15" s="59">
        <v>0</v>
      </c>
      <c r="V15" s="59">
        <v>0</v>
      </c>
      <c r="W15" s="59">
        <v>0</v>
      </c>
      <c r="X15" s="59">
        <v>0</v>
      </c>
      <c r="Y15" s="59">
        <v>0</v>
      </c>
      <c r="Z15" s="59">
        <v>0</v>
      </c>
      <c r="AA15" s="59">
        <v>0</v>
      </c>
      <c r="AB15" s="59">
        <v>0</v>
      </c>
      <c r="AC15" s="59">
        <v>0</v>
      </c>
      <c r="AD15" s="59">
        <v>0</v>
      </c>
      <c r="AE15" s="59">
        <v>0</v>
      </c>
      <c r="AF15" s="59">
        <v>0</v>
      </c>
      <c r="AG15" s="59">
        <v>0</v>
      </c>
      <c r="AH15" s="59">
        <v>0</v>
      </c>
      <c r="AI15" s="59">
        <v>0</v>
      </c>
      <c r="AJ15" s="59">
        <v>0</v>
      </c>
      <c r="AK15" s="59">
        <v>0</v>
      </c>
      <c r="AL15" s="59">
        <v>0</v>
      </c>
      <c r="AM15" s="59">
        <v>0</v>
      </c>
      <c r="AO15" s="118">
        <v>3.6499999999999998E-2</v>
      </c>
    </row>
    <row r="16" spans="1:53" customFormat="1" ht="18" customHeight="1">
      <c r="B16" s="246" t="s">
        <v>177</v>
      </c>
      <c r="C16" s="247" t="s">
        <v>133</v>
      </c>
      <c r="D16" s="59">
        <f t="shared" si="0"/>
        <v>385.15914122149445</v>
      </c>
      <c r="E16" s="59">
        <v>385.15914122149445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  <c r="S16" s="59">
        <v>0</v>
      </c>
      <c r="T16" s="59">
        <v>0</v>
      </c>
      <c r="U16" s="59">
        <v>0</v>
      </c>
      <c r="V16" s="59">
        <v>0</v>
      </c>
      <c r="W16" s="59">
        <v>0</v>
      </c>
      <c r="X16" s="59">
        <v>0</v>
      </c>
      <c r="Y16" s="59">
        <v>0</v>
      </c>
      <c r="Z16" s="59">
        <v>0</v>
      </c>
      <c r="AA16" s="59">
        <v>0</v>
      </c>
      <c r="AB16" s="59">
        <v>0</v>
      </c>
      <c r="AC16" s="59">
        <v>0</v>
      </c>
      <c r="AD16" s="59">
        <v>0</v>
      </c>
      <c r="AE16" s="59">
        <v>0</v>
      </c>
      <c r="AF16" s="59">
        <v>0</v>
      </c>
      <c r="AG16" s="59">
        <v>0</v>
      </c>
      <c r="AH16" s="59">
        <v>0</v>
      </c>
      <c r="AI16" s="59">
        <v>0</v>
      </c>
      <c r="AJ16" s="59">
        <v>0</v>
      </c>
      <c r="AK16" s="59">
        <v>0</v>
      </c>
      <c r="AL16" s="59">
        <v>0</v>
      </c>
      <c r="AM16" s="59">
        <v>0</v>
      </c>
      <c r="AO16" s="118">
        <v>3.6499999999999998E-2</v>
      </c>
    </row>
    <row r="17" spans="1:41" customFormat="1" ht="18" customHeight="1">
      <c r="B17" s="246" t="s">
        <v>178</v>
      </c>
      <c r="C17" s="247" t="s">
        <v>138</v>
      </c>
      <c r="D17" s="59">
        <f t="shared" si="0"/>
        <v>34317.922647421372</v>
      </c>
      <c r="E17" s="59">
        <f>SUM(E18:E22)</f>
        <v>9286.7186750807323</v>
      </c>
      <c r="F17" s="59">
        <f t="shared" ref="F17:AM17" si="5">SUM(F18:F22)</f>
        <v>25031.203972340641</v>
      </c>
      <c r="G17" s="59">
        <f t="shared" si="5"/>
        <v>0</v>
      </c>
      <c r="H17" s="59">
        <f t="shared" si="5"/>
        <v>0</v>
      </c>
      <c r="I17" s="59">
        <f t="shared" si="5"/>
        <v>0</v>
      </c>
      <c r="J17" s="59">
        <f t="shared" si="5"/>
        <v>0</v>
      </c>
      <c r="K17" s="59">
        <f t="shared" si="5"/>
        <v>0</v>
      </c>
      <c r="L17" s="59">
        <f t="shared" si="5"/>
        <v>0</v>
      </c>
      <c r="M17" s="59">
        <f t="shared" si="5"/>
        <v>0</v>
      </c>
      <c r="N17" s="59">
        <f t="shared" si="5"/>
        <v>0</v>
      </c>
      <c r="O17" s="59">
        <f t="shared" si="5"/>
        <v>0</v>
      </c>
      <c r="P17" s="59">
        <f t="shared" si="5"/>
        <v>0</v>
      </c>
      <c r="Q17" s="59">
        <f t="shared" si="5"/>
        <v>0</v>
      </c>
      <c r="R17" s="59">
        <f t="shared" si="5"/>
        <v>0</v>
      </c>
      <c r="S17" s="59">
        <f t="shared" si="5"/>
        <v>0</v>
      </c>
      <c r="T17" s="59">
        <f t="shared" si="5"/>
        <v>0</v>
      </c>
      <c r="U17" s="59">
        <f t="shared" si="5"/>
        <v>0</v>
      </c>
      <c r="V17" s="59">
        <f t="shared" si="5"/>
        <v>0</v>
      </c>
      <c r="W17" s="59">
        <f t="shared" si="5"/>
        <v>0</v>
      </c>
      <c r="X17" s="59">
        <f t="shared" si="5"/>
        <v>0</v>
      </c>
      <c r="Y17" s="59">
        <f t="shared" si="5"/>
        <v>0</v>
      </c>
      <c r="Z17" s="59">
        <f t="shared" si="5"/>
        <v>0</v>
      </c>
      <c r="AA17" s="59">
        <f t="shared" si="5"/>
        <v>0</v>
      </c>
      <c r="AB17" s="59">
        <f t="shared" si="5"/>
        <v>0</v>
      </c>
      <c r="AC17" s="59">
        <f t="shared" si="5"/>
        <v>0</v>
      </c>
      <c r="AD17" s="59">
        <f t="shared" si="5"/>
        <v>0</v>
      </c>
      <c r="AE17" s="59">
        <f t="shared" si="5"/>
        <v>0</v>
      </c>
      <c r="AF17" s="59">
        <f t="shared" si="5"/>
        <v>0</v>
      </c>
      <c r="AG17" s="59">
        <f t="shared" si="5"/>
        <v>0</v>
      </c>
      <c r="AH17" s="59">
        <f t="shared" si="5"/>
        <v>0</v>
      </c>
      <c r="AI17" s="59">
        <f t="shared" si="5"/>
        <v>0</v>
      </c>
      <c r="AJ17" s="59">
        <f t="shared" si="5"/>
        <v>0</v>
      </c>
      <c r="AK17" s="59">
        <f t="shared" si="5"/>
        <v>0</v>
      </c>
      <c r="AL17" s="59">
        <f t="shared" si="5"/>
        <v>0</v>
      </c>
      <c r="AM17" s="59">
        <f t="shared" si="5"/>
        <v>0</v>
      </c>
      <c r="AO17" s="59"/>
    </row>
    <row r="18" spans="1:41" ht="18" customHeight="1">
      <c r="A18" s="98"/>
      <c r="B18" s="60" t="s">
        <v>284</v>
      </c>
      <c r="C18" s="62" t="s">
        <v>251</v>
      </c>
      <c r="D18" s="13">
        <f t="shared" si="0"/>
        <v>4405.7888753662892</v>
      </c>
      <c r="E18" s="123"/>
      <c r="F18" s="123">
        <v>4405.7888753662892</v>
      </c>
      <c r="G18" s="151"/>
      <c r="H18" s="151"/>
      <c r="I18" s="151"/>
      <c r="J18" s="151"/>
      <c r="K18" s="151"/>
      <c r="L18" s="151"/>
      <c r="M18" s="151"/>
      <c r="N18" s="151"/>
      <c r="O18" s="151"/>
      <c r="P18" s="151"/>
      <c r="Q18" s="151"/>
      <c r="R18" s="151"/>
      <c r="S18" s="151"/>
      <c r="T18" s="151"/>
      <c r="U18" s="151"/>
      <c r="V18" s="151"/>
      <c r="W18" s="151"/>
      <c r="X18" s="151"/>
      <c r="Y18" s="151"/>
      <c r="Z18" s="151"/>
      <c r="AA18" s="151"/>
      <c r="AB18" s="151"/>
      <c r="AC18" s="151"/>
      <c r="AD18" s="151"/>
      <c r="AE18" s="151"/>
      <c r="AF18" s="151"/>
      <c r="AG18" s="151"/>
      <c r="AH18" s="151"/>
      <c r="AI18" s="151"/>
      <c r="AJ18" s="151"/>
      <c r="AK18" s="151"/>
      <c r="AL18" s="151"/>
      <c r="AM18" s="151"/>
      <c r="AO18" s="152">
        <v>3.6499999999999998E-2</v>
      </c>
    </row>
    <row r="19" spans="1:41" ht="18" customHeight="1">
      <c r="A19" s="98"/>
      <c r="B19" s="60" t="s">
        <v>285</v>
      </c>
      <c r="C19" s="62" t="s">
        <v>252</v>
      </c>
      <c r="D19" s="13">
        <f t="shared" si="0"/>
        <v>6633.3704822005238</v>
      </c>
      <c r="E19" s="245">
        <v>1326.6740964401047</v>
      </c>
      <c r="F19" s="245">
        <v>5306.6963857604187</v>
      </c>
      <c r="G19" s="123"/>
      <c r="H19" s="123"/>
      <c r="I19" s="123"/>
      <c r="J19" s="123"/>
      <c r="K19" s="123"/>
      <c r="L19" s="123"/>
      <c r="M19" s="123"/>
      <c r="N19" s="123"/>
      <c r="O19" s="123"/>
      <c r="P19" s="123"/>
      <c r="Q19" s="123"/>
      <c r="R19" s="123"/>
      <c r="S19" s="123"/>
      <c r="T19" s="123"/>
      <c r="U19" s="123"/>
      <c r="V19" s="123"/>
      <c r="W19" s="123"/>
      <c r="X19" s="123"/>
      <c r="Y19" s="123"/>
      <c r="Z19" s="123"/>
      <c r="AA19" s="123"/>
      <c r="AB19" s="123"/>
      <c r="AC19" s="123"/>
      <c r="AD19" s="123"/>
      <c r="AE19" s="123"/>
      <c r="AF19" s="123"/>
      <c r="AG19" s="123"/>
      <c r="AH19" s="123"/>
      <c r="AI19" s="123"/>
      <c r="AJ19" s="123"/>
      <c r="AK19" s="123"/>
      <c r="AL19" s="123"/>
      <c r="AM19" s="123"/>
      <c r="AO19" s="152">
        <v>3.6499999999999998E-2</v>
      </c>
    </row>
    <row r="20" spans="1:41" ht="18" customHeight="1">
      <c r="A20" s="98"/>
      <c r="B20" s="60" t="s">
        <v>286</v>
      </c>
      <c r="C20" s="62" t="s">
        <v>253</v>
      </c>
      <c r="D20" s="13">
        <f t="shared" si="0"/>
        <v>6633.3704822005238</v>
      </c>
      <c r="E20" s="245">
        <v>1326.6740964401047</v>
      </c>
      <c r="F20" s="245">
        <v>5306.6963857604187</v>
      </c>
      <c r="G20" s="123"/>
      <c r="H20" s="123"/>
      <c r="I20" s="123"/>
      <c r="J20" s="123"/>
      <c r="K20" s="123"/>
      <c r="L20" s="123"/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23"/>
      <c r="Z20" s="123"/>
      <c r="AA20" s="123"/>
      <c r="AB20" s="123"/>
      <c r="AC20" s="123"/>
      <c r="AD20" s="123"/>
      <c r="AE20" s="123"/>
      <c r="AF20" s="123"/>
      <c r="AG20" s="123"/>
      <c r="AH20" s="123"/>
      <c r="AI20" s="123"/>
      <c r="AJ20" s="123"/>
      <c r="AK20" s="123"/>
      <c r="AL20" s="123"/>
      <c r="AM20" s="123"/>
      <c r="AO20" s="152">
        <v>3.6499999999999998E-2</v>
      </c>
    </row>
    <row r="21" spans="1:41" ht="18" customHeight="1">
      <c r="A21" s="98"/>
      <c r="B21" s="60" t="s">
        <v>287</v>
      </c>
      <c r="C21" s="62" t="s">
        <v>254</v>
      </c>
      <c r="D21" s="13">
        <f t="shared" si="0"/>
        <v>6633.3704822005229</v>
      </c>
      <c r="E21" s="123">
        <v>6633.3704822005229</v>
      </c>
      <c r="F21" s="123"/>
      <c r="G21" s="151"/>
      <c r="H21" s="151"/>
      <c r="I21" s="151"/>
      <c r="J21" s="151"/>
      <c r="K21" s="151"/>
      <c r="L21" s="151"/>
      <c r="M21" s="151"/>
      <c r="N21" s="151"/>
      <c r="O21" s="151"/>
      <c r="P21" s="151"/>
      <c r="Q21" s="151"/>
      <c r="R21" s="151"/>
      <c r="S21" s="151"/>
      <c r="T21" s="151"/>
      <c r="U21" s="151"/>
      <c r="V21" s="151"/>
      <c r="W21" s="151"/>
      <c r="X21" s="151"/>
      <c r="Y21" s="151"/>
      <c r="Z21" s="151"/>
      <c r="AA21" s="151"/>
      <c r="AB21" s="151"/>
      <c r="AC21" s="151"/>
      <c r="AD21" s="151"/>
      <c r="AE21" s="151"/>
      <c r="AF21" s="151"/>
      <c r="AG21" s="151"/>
      <c r="AH21" s="151"/>
      <c r="AI21" s="151"/>
      <c r="AJ21" s="151"/>
      <c r="AK21" s="151"/>
      <c r="AL21" s="151"/>
      <c r="AM21" s="151"/>
      <c r="AO21" s="152">
        <v>3.6499999999999998E-2</v>
      </c>
    </row>
    <row r="22" spans="1:41" ht="18" customHeight="1">
      <c r="A22" s="98"/>
      <c r="B22" s="60" t="s">
        <v>288</v>
      </c>
      <c r="C22" s="62" t="s">
        <v>255</v>
      </c>
      <c r="D22" s="13">
        <f t="shared" si="0"/>
        <v>10012.022325453516</v>
      </c>
      <c r="E22" s="123"/>
      <c r="F22" s="123">
        <v>10012.022325453516</v>
      </c>
      <c r="G22" s="151"/>
      <c r="H22" s="151"/>
      <c r="I22" s="151"/>
      <c r="J22" s="151"/>
      <c r="K22" s="151"/>
      <c r="L22" s="151"/>
      <c r="M22" s="151"/>
      <c r="N22" s="151"/>
      <c r="O22" s="151"/>
      <c r="P22" s="151"/>
      <c r="Q22" s="151"/>
      <c r="R22" s="151"/>
      <c r="S22" s="151"/>
      <c r="T22" s="151"/>
      <c r="U22" s="151"/>
      <c r="V22" s="151"/>
      <c r="W22" s="151"/>
      <c r="X22" s="151"/>
      <c r="Y22" s="151"/>
      <c r="Z22" s="151"/>
      <c r="AA22" s="151"/>
      <c r="AB22" s="151"/>
      <c r="AC22" s="151"/>
      <c r="AD22" s="151"/>
      <c r="AE22" s="151"/>
      <c r="AF22" s="151"/>
      <c r="AG22" s="151"/>
      <c r="AH22" s="151"/>
      <c r="AI22" s="151"/>
      <c r="AJ22" s="151"/>
      <c r="AK22" s="151"/>
      <c r="AL22" s="151"/>
      <c r="AM22" s="151"/>
      <c r="AO22" s="152">
        <v>3.6499999999999998E-2</v>
      </c>
    </row>
    <row r="23" spans="1:41" customFormat="1" ht="18" customHeight="1">
      <c r="B23" s="246" t="s">
        <v>140</v>
      </c>
      <c r="C23" s="247" t="s">
        <v>139</v>
      </c>
      <c r="D23" s="59">
        <f t="shared" si="0"/>
        <v>8133.919925055</v>
      </c>
      <c r="E23" s="413">
        <f>IF('Painel de Controle'!$D$20="pleito 2",'Exclusões de M&amp;E'!F40,IF('Painel de Controle'!$D$20="pleito 3",'Exclusões de M&amp;E'!F41,'Exclusões de M&amp;E'!F43))</f>
        <v>0</v>
      </c>
      <c r="F23" s="413">
        <f>IF('Painel de Controle'!$D$20="pleito 2",'Exclusões de M&amp;E'!G40,IF('Painel de Controle'!$D$20="pleito 3",'Exclusões de M&amp;E'!G41,'Exclusões de M&amp;E'!G43))</f>
        <v>0</v>
      </c>
      <c r="G23" s="413">
        <f>IF('Painel de Controle'!$D$20="pleito 2",'Exclusões de M&amp;E'!H40,IF('Painel de Controle'!$D$20="pleito 3",'Exclusões de M&amp;E'!H41,IF('Painel de Controle'!$D$20="pleito 6",'Exclusões de M&amp;E'!H42,'Exclusões de M&amp;E'!H43)))</f>
        <v>0</v>
      </c>
      <c r="H23" s="413">
        <f>IF('Painel de Controle'!$D$20="pleito 2",'Exclusões de M&amp;E'!I40,IF('Painel de Controle'!$D$20="pleito 3",'Exclusões de M&amp;E'!I41,IF('Painel de Controle'!$D$20="pleito 6",'Exclusões de M&amp;E'!I42,'Exclusões de M&amp;E'!I43)))</f>
        <v>0</v>
      </c>
      <c r="I23" s="413">
        <f>IF('Painel de Controle'!$D$20="pleito 2",'Exclusões de M&amp;E'!J40,IF('Painel de Controle'!$D$20="pleito 3",'Exclusões de M&amp;E'!J41,IF('Painel de Controle'!$D$20="pleito 6",'Exclusões de M&amp;E'!J42,'Exclusões de M&amp;E'!J43)))</f>
        <v>0</v>
      </c>
      <c r="J23" s="413">
        <f>IF('Painel de Controle'!$D$20="pleito 2",'Exclusões de M&amp;E'!K40,IF('Painel de Controle'!$D$20="pleito 3",'Exclusões de M&amp;E'!K41,IF('Painel de Controle'!$D$20="pleito 6",'Exclusões de M&amp;E'!K42,'Exclusões de M&amp;E'!K43)))</f>
        <v>0</v>
      </c>
      <c r="K23" s="413">
        <f>IF('Painel de Controle'!$D$20="pleito 2",'Exclusões de M&amp;E'!L40,IF('Painel de Controle'!$D$20="pleito 3",'Exclusões de M&amp;E'!L41,IF('Painel de Controle'!$D$20="pleito 6",'Exclusões de M&amp;E'!L42,'Exclusões de M&amp;E'!L43)))</f>
        <v>0</v>
      </c>
      <c r="L23" s="413">
        <f>IF('Painel de Controle'!$D$20="pleito 2",'Exclusões de M&amp;E'!M40,IF('Painel de Controle'!$D$20="pleito 3",'Exclusões de M&amp;E'!M41,IF('Painel de Controle'!$D$20="pleito 6",'Exclusões de M&amp;E'!M42,'Exclusões de M&amp;E'!M43)))</f>
        <v>0</v>
      </c>
      <c r="M23" s="413">
        <f>IF('Painel de Controle'!$D$20="pleito 2",'Exclusões de M&amp;E'!N40,IF('Painel de Controle'!$D$20="pleito 3",'Exclusões de M&amp;E'!N41,IF('Painel de Controle'!$D$20="pleito 6",'Exclusões de M&amp;E'!N42,'Exclusões de M&amp;E'!N43)))</f>
        <v>0</v>
      </c>
      <c r="N23" s="413">
        <f>IF('Painel de Controle'!$D$20="pleito 2",'Exclusões de M&amp;E'!O40,IF('Painel de Controle'!$D$20="pleito 3",'Exclusões de M&amp;E'!O41,IF('Painel de Controle'!$D$20="pleito 6",'Exclusões de M&amp;E'!O42,'Exclusões de M&amp;E'!O43)))</f>
        <v>0</v>
      </c>
      <c r="O23" s="413">
        <f>IF('Painel de Controle'!$D$20="pleito 2",'Exclusões de M&amp;E'!P40,IF('Painel de Controle'!$D$20="pleito 3",'Exclusões de M&amp;E'!P41,IF('Painel de Controle'!$D$20="pleito 6",'Exclusões de M&amp;E'!P42,'Exclusões de M&amp;E'!P43)))</f>
        <v>0</v>
      </c>
      <c r="P23" s="413">
        <f>IF('Painel de Controle'!$D$20="pleito 2",'Exclusões de M&amp;E'!Q40,IF('Painel de Controle'!$D$20="pleito 3",'Exclusões de M&amp;E'!Q41,IF('Painel de Controle'!$D$20="pleito 6",'Exclusões de M&amp;E'!Q42,'Exclusões de M&amp;E'!Q43)))</f>
        <v>0</v>
      </c>
      <c r="Q23" s="413">
        <f>IF('Painel de Controle'!$D$20="pleito 2",'Exclusões de M&amp;E'!R40,IF('Painel de Controle'!$D$20="pleito 3",'Exclusões de M&amp;E'!R41,IF('Painel de Controle'!$D$20="pleito 6",'Exclusões de M&amp;E'!R42,'Exclusões de M&amp;E'!R43)))</f>
        <v>0</v>
      </c>
      <c r="R23" s="413">
        <f>IF('Painel de Controle'!$D$20="pleito 2",'Exclusões de M&amp;E'!S40,IF('Painel de Controle'!$D$20="pleito 3",'Exclusões de M&amp;E'!S41,IF('Painel de Controle'!$D$20="pleito 6",'Exclusões de M&amp;E'!S42,'Exclusões de M&amp;E'!S43)))</f>
        <v>0</v>
      </c>
      <c r="S23" s="413">
        <f>IF('Painel de Controle'!$D$20="pleito 2",'Exclusões de M&amp;E'!T40,IF('Painel de Controle'!$D$20="pleito 3",'Exclusões de M&amp;E'!T41,IF('Painel de Controle'!$D$20="pleito 6",'Exclusões de M&amp;E'!T42,'Exclusões de M&amp;E'!T43)))</f>
        <v>0</v>
      </c>
      <c r="T23" s="413">
        <f>IF('Painel de Controle'!$D$20="pleito 2",'Exclusões de M&amp;E'!U40,IF('Painel de Controle'!$D$20="pleito 3",'Exclusões de M&amp;E'!U41,IF('Painel de Controle'!$D$20="pleito 6",'Exclusões de M&amp;E'!U42,'Exclusões de M&amp;E'!U43)))</f>
        <v>0</v>
      </c>
      <c r="U23" s="413">
        <f>IF('Painel de Controle'!$D$20="pleito 2",'Exclusões de M&amp;E'!V40,IF('Painel de Controle'!$D$20="pleito 3",'Exclusões de M&amp;E'!V41,IF('Painel de Controle'!$D$20="pleito 6",'Exclusões de M&amp;E'!V42,'Exclusões de M&amp;E'!V43)))</f>
        <v>8133.919925055</v>
      </c>
      <c r="V23" s="413">
        <f>IF('Painel de Controle'!$D$20="pleito 2",'Exclusões de M&amp;E'!W40,IF('Painel de Controle'!$D$20="pleito 3",'Exclusões de M&amp;E'!W41,IF('Painel de Controle'!$D$20="pleito 6",'Exclusões de M&amp;E'!W42,'Exclusões de M&amp;E'!W43)))</f>
        <v>0</v>
      </c>
      <c r="W23" s="413">
        <f>IF('Painel de Controle'!$D$20="pleito 2",'Exclusões de M&amp;E'!X40,IF('Painel de Controle'!$D$20="pleito 3",'Exclusões de M&amp;E'!X41,IF('Painel de Controle'!$D$20="pleito 6",'Exclusões de M&amp;E'!X42,'Exclusões de M&amp;E'!X43)))</f>
        <v>0</v>
      </c>
      <c r="X23" s="413">
        <f>IF('Painel de Controle'!$D$20="pleito 2",'Exclusões de M&amp;E'!Y40,IF('Painel de Controle'!$D$20="pleito 3",'Exclusões de M&amp;E'!Y41,IF('Painel de Controle'!$D$20="pleito 6",'Exclusões de M&amp;E'!Y42,'Exclusões de M&amp;E'!Y43)))</f>
        <v>0</v>
      </c>
      <c r="Y23" s="413">
        <f>IF('Painel de Controle'!$D$20="pleito 2",'Exclusões de M&amp;E'!Z40,IF('Painel de Controle'!$D$20="pleito 3",'Exclusões de M&amp;E'!Z41,IF('Painel de Controle'!$D$20="pleito 6",'Exclusões de M&amp;E'!Z42,'Exclusões de M&amp;E'!Z43)))</f>
        <v>0</v>
      </c>
      <c r="Z23" s="413">
        <f>IF('Painel de Controle'!$D$20="pleito 2",'Exclusões de M&amp;E'!AA40,IF('Painel de Controle'!$D$20="pleito 3",'Exclusões de M&amp;E'!AA41,IF('Painel de Controle'!$D$20="pleito 6",'Exclusões de M&amp;E'!AA42,'Exclusões de M&amp;E'!AA43)))</f>
        <v>0</v>
      </c>
      <c r="AA23" s="413">
        <f>IF('Painel de Controle'!$D$20="pleito 2",'Exclusões de M&amp;E'!AB40,IF('Painel de Controle'!$D$20="pleito 3",'Exclusões de M&amp;E'!AB41,IF('Painel de Controle'!$D$20="pleito 6",'Exclusões de M&amp;E'!AB42,'Exclusões de M&amp;E'!AB43)))</f>
        <v>0</v>
      </c>
      <c r="AB23" s="413">
        <f>IF('Painel de Controle'!$D$20="pleito 2",'Exclusões de M&amp;E'!AC40,IF('Painel de Controle'!$D$20="pleito 3",'Exclusões de M&amp;E'!AC41,IF('Painel de Controle'!$D$20="pleito 6",'Exclusões de M&amp;E'!AC42,'Exclusões de M&amp;E'!AC43)))</f>
        <v>0</v>
      </c>
      <c r="AC23" s="413">
        <f>IF('Painel de Controle'!$D$20="pleito 2",'Exclusões de M&amp;E'!AD40,IF('Painel de Controle'!$D$20="pleito 3",'Exclusões de M&amp;E'!AD41,IF('Painel de Controle'!$D$20="pleito 6",'Exclusões de M&amp;E'!AD42,'Exclusões de M&amp;E'!AD43)))</f>
        <v>0</v>
      </c>
      <c r="AD23" s="413">
        <f>IF('Painel de Controle'!$D$20="pleito 2",'Exclusões de M&amp;E'!AE40,IF('Painel de Controle'!$D$20="pleito 3",'Exclusões de M&amp;E'!AE41,IF('Painel de Controle'!$D$20="pleito 6",'Exclusões de M&amp;E'!AE42,'Exclusões de M&amp;E'!AE43)))</f>
        <v>0</v>
      </c>
      <c r="AE23" s="413">
        <f>IF('Painel de Controle'!$D$20="pleito 2",'Exclusões de M&amp;E'!AF40,IF('Painel de Controle'!$D$20="pleito 3",'Exclusões de M&amp;E'!AF41,IF('Painel de Controle'!$D$20="pleito 6",'Exclusões de M&amp;E'!AF42,'Exclusões de M&amp;E'!AF43)))</f>
        <v>0</v>
      </c>
      <c r="AF23" s="413">
        <f>IF('Painel de Controle'!$D$20="pleito 2",'Exclusões de M&amp;E'!AG40,IF('Painel de Controle'!$D$20="pleito 3",'Exclusões de M&amp;E'!AG41,IF('Painel de Controle'!$D$20="pleito 6",'Exclusões de M&amp;E'!AG42,'Exclusões de M&amp;E'!AG43)))</f>
        <v>0</v>
      </c>
      <c r="AG23" s="413">
        <f>IF('Painel de Controle'!$D$20="pleito 2",'Exclusões de M&amp;E'!AH40,IF('Painel de Controle'!$D$20="pleito 3",'Exclusões de M&amp;E'!AH41,IF('Painel de Controle'!$D$20="pleito 6",'Exclusões de M&amp;E'!AH42,'Exclusões de M&amp;E'!AH43)))</f>
        <v>0</v>
      </c>
      <c r="AH23" s="413">
        <f>IF('Painel de Controle'!$D$20="pleito 2",'Exclusões de M&amp;E'!AI40,IF('Painel de Controle'!$D$20="pleito 3",'Exclusões de M&amp;E'!AI41,IF('Painel de Controle'!$D$20="pleito 6",'Exclusões de M&amp;E'!AI42,'Exclusões de M&amp;E'!AI43)))</f>
        <v>0</v>
      </c>
      <c r="AI23" s="413">
        <f>IF('Painel de Controle'!$D$20="pleito 2",'Exclusões de M&amp;E'!AJ40,IF('Painel de Controle'!$D$20="pleito 3",'Exclusões de M&amp;E'!AJ41,IF('Painel de Controle'!$D$20="pleito 6",'Exclusões de M&amp;E'!AJ42,'Exclusões de M&amp;E'!AJ43)))</f>
        <v>0</v>
      </c>
      <c r="AJ23" s="413">
        <f>IF('Painel de Controle'!$D$20="pleito 2",'Exclusões de M&amp;E'!AK40,IF('Painel de Controle'!$D$20="pleito 3",'Exclusões de M&amp;E'!AK41,IF('Painel de Controle'!$D$20="pleito 6",'Exclusões de M&amp;E'!AK42,'Exclusões de M&amp;E'!AK43)))</f>
        <v>0</v>
      </c>
      <c r="AK23" s="413">
        <f>IF('Painel de Controle'!$D$20="pleito 2",'Exclusões de M&amp;E'!AL40,IF('Painel de Controle'!$D$20="pleito 3",'Exclusões de M&amp;E'!AL41,IF('Painel de Controle'!$D$20="pleito 6",'Exclusões de M&amp;E'!AL42,'Exclusões de M&amp;E'!AL43)))</f>
        <v>0</v>
      </c>
      <c r="AL23" s="413">
        <f>IF('Painel de Controle'!$D$20="pleito 2",'Exclusões de M&amp;E'!AM40,IF('Painel de Controle'!$D$20="pleito 3",'Exclusões de M&amp;E'!AM41,IF('Painel de Controle'!$D$20="pleito 6",'Exclusões de M&amp;E'!AM42,'Exclusões de M&amp;E'!AM43)))</f>
        <v>0</v>
      </c>
      <c r="AM23" s="413">
        <f>IF('Painel de Controle'!$D$20="pleito 2",'Exclusões de M&amp;E'!AN40,IF('Painel de Controle'!$D$20="pleito 3",'Exclusões de M&amp;E'!AN41,IF('Painel de Controle'!$D$20="pleito 6",'Exclusões de M&amp;E'!AN42,'Exclusões de M&amp;E'!AN43)))</f>
        <v>0</v>
      </c>
      <c r="AO23" s="174">
        <v>3.6499999999999998E-2</v>
      </c>
    </row>
    <row r="24" spans="1:41" customFormat="1" ht="18" customHeight="1">
      <c r="B24" s="246" t="s">
        <v>186</v>
      </c>
      <c r="C24" s="247" t="s">
        <v>172</v>
      </c>
      <c r="D24" s="59">
        <f t="shared" si="0"/>
        <v>967.47546689455521</v>
      </c>
      <c r="E24" s="59">
        <v>193.49509337891104</v>
      </c>
      <c r="F24" s="59">
        <v>773.98037351564415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  <c r="S24" s="59">
        <v>0</v>
      </c>
      <c r="T24" s="59">
        <v>0</v>
      </c>
      <c r="U24" s="59">
        <v>0</v>
      </c>
      <c r="V24" s="59">
        <v>0</v>
      </c>
      <c r="W24" s="59">
        <v>0</v>
      </c>
      <c r="X24" s="59">
        <v>0</v>
      </c>
      <c r="Y24" s="59">
        <v>0</v>
      </c>
      <c r="Z24" s="59">
        <v>0</v>
      </c>
      <c r="AA24" s="59">
        <v>0</v>
      </c>
      <c r="AB24" s="59">
        <v>0</v>
      </c>
      <c r="AC24" s="59">
        <v>0</v>
      </c>
      <c r="AD24" s="59">
        <v>0</v>
      </c>
      <c r="AE24" s="59">
        <v>0</v>
      </c>
      <c r="AF24" s="59">
        <v>0</v>
      </c>
      <c r="AG24" s="59">
        <v>0</v>
      </c>
      <c r="AH24" s="59">
        <v>0</v>
      </c>
      <c r="AI24" s="59">
        <v>0</v>
      </c>
      <c r="AJ24" s="59">
        <v>0</v>
      </c>
      <c r="AK24" s="59">
        <v>0</v>
      </c>
      <c r="AL24" s="59">
        <v>0</v>
      </c>
      <c r="AM24" s="59">
        <v>0</v>
      </c>
      <c r="AO24" s="118">
        <v>3.6499999999999998E-2</v>
      </c>
    </row>
    <row r="25" spans="1:41" customFormat="1" ht="18" customHeight="1">
      <c r="B25" s="246" t="s">
        <v>141</v>
      </c>
      <c r="C25" s="247" t="s">
        <v>143</v>
      </c>
      <c r="D25" s="59">
        <f t="shared" si="0"/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  <c r="S25" s="59">
        <v>0</v>
      </c>
      <c r="T25" s="59">
        <v>0</v>
      </c>
      <c r="U25" s="59">
        <v>0</v>
      </c>
      <c r="V25" s="59">
        <v>0</v>
      </c>
      <c r="W25" s="59">
        <v>0</v>
      </c>
      <c r="X25" s="59">
        <v>0</v>
      </c>
      <c r="Y25" s="59">
        <v>0</v>
      </c>
      <c r="Z25" s="59">
        <v>0</v>
      </c>
      <c r="AA25" s="59">
        <v>0</v>
      </c>
      <c r="AB25" s="59">
        <v>0</v>
      </c>
      <c r="AC25" s="59">
        <v>0</v>
      </c>
      <c r="AD25" s="59">
        <v>0</v>
      </c>
      <c r="AE25" s="59">
        <v>0</v>
      </c>
      <c r="AF25" s="59">
        <v>0</v>
      </c>
      <c r="AG25" s="59">
        <v>0</v>
      </c>
      <c r="AH25" s="59">
        <v>0</v>
      </c>
      <c r="AI25" s="59">
        <v>0</v>
      </c>
      <c r="AJ25" s="59">
        <v>0</v>
      </c>
      <c r="AK25" s="59">
        <v>0</v>
      </c>
      <c r="AL25" s="59">
        <v>0</v>
      </c>
      <c r="AM25" s="59">
        <v>0</v>
      </c>
      <c r="AO25" s="118">
        <v>3.6499999999999998E-2</v>
      </c>
    </row>
    <row r="26" spans="1:41" customFormat="1" ht="18" customHeight="1">
      <c r="B26" s="246" t="s">
        <v>142</v>
      </c>
      <c r="C26" s="247" t="s">
        <v>179</v>
      </c>
      <c r="D26" s="59">
        <f t="shared" si="0"/>
        <v>6021.609777355</v>
      </c>
      <c r="E26" s="59">
        <v>3010.8048886775</v>
      </c>
      <c r="F26" s="59">
        <v>3010.8048886775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  <c r="S26" s="59">
        <v>0</v>
      </c>
      <c r="T26" s="59">
        <v>0</v>
      </c>
      <c r="U26" s="59">
        <v>0</v>
      </c>
      <c r="V26" s="59">
        <v>0</v>
      </c>
      <c r="W26" s="59">
        <v>0</v>
      </c>
      <c r="X26" s="59">
        <v>0</v>
      </c>
      <c r="Y26" s="59">
        <v>0</v>
      </c>
      <c r="Z26" s="59">
        <v>0</v>
      </c>
      <c r="AA26" s="59">
        <v>0</v>
      </c>
      <c r="AB26" s="59">
        <v>0</v>
      </c>
      <c r="AC26" s="59">
        <v>0</v>
      </c>
      <c r="AD26" s="59">
        <v>0</v>
      </c>
      <c r="AE26" s="59">
        <v>0</v>
      </c>
      <c r="AF26" s="59">
        <v>0</v>
      </c>
      <c r="AG26" s="59">
        <v>0</v>
      </c>
      <c r="AH26" s="59">
        <v>0</v>
      </c>
      <c r="AI26" s="59">
        <v>0</v>
      </c>
      <c r="AJ26" s="59">
        <v>0</v>
      </c>
      <c r="AK26" s="59">
        <v>0</v>
      </c>
      <c r="AL26" s="59">
        <v>0</v>
      </c>
      <c r="AM26" s="59">
        <v>0</v>
      </c>
      <c r="AO26" s="118">
        <v>3.6499999999999998E-2</v>
      </c>
    </row>
    <row r="27" spans="1:41" customFormat="1" ht="18" customHeight="1">
      <c r="B27" s="246" t="s">
        <v>289</v>
      </c>
      <c r="C27" s="247" t="s">
        <v>231</v>
      </c>
      <c r="D27" s="59">
        <f t="shared" si="0"/>
        <v>1913.6243461399999</v>
      </c>
      <c r="E27" s="59">
        <v>382.72486922799999</v>
      </c>
      <c r="F27" s="59">
        <v>1530.899476912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  <c r="S27" s="59">
        <v>0</v>
      </c>
      <c r="T27" s="59">
        <v>0</v>
      </c>
      <c r="U27" s="59">
        <v>0</v>
      </c>
      <c r="V27" s="59">
        <v>0</v>
      </c>
      <c r="W27" s="59">
        <v>0</v>
      </c>
      <c r="X27" s="59">
        <v>0</v>
      </c>
      <c r="Y27" s="59">
        <v>0</v>
      </c>
      <c r="Z27" s="59">
        <v>0</v>
      </c>
      <c r="AA27" s="59">
        <v>0</v>
      </c>
      <c r="AB27" s="59">
        <v>0</v>
      </c>
      <c r="AC27" s="59">
        <v>0</v>
      </c>
      <c r="AD27" s="59">
        <v>0</v>
      </c>
      <c r="AE27" s="59">
        <v>0</v>
      </c>
      <c r="AF27" s="59">
        <v>0</v>
      </c>
      <c r="AG27" s="59">
        <v>0</v>
      </c>
      <c r="AH27" s="59">
        <v>0</v>
      </c>
      <c r="AI27" s="59">
        <v>0</v>
      </c>
      <c r="AJ27" s="59">
        <v>0</v>
      </c>
      <c r="AK27" s="59">
        <v>0</v>
      </c>
      <c r="AL27" s="59">
        <v>0</v>
      </c>
      <c r="AM27" s="59">
        <v>0</v>
      </c>
      <c r="AO27" s="118">
        <v>3.6499999999999998E-2</v>
      </c>
    </row>
    <row r="28" spans="1:41" customFormat="1" ht="18" customHeight="1">
      <c r="B28" s="246" t="s">
        <v>290</v>
      </c>
      <c r="C28" s="247" t="s">
        <v>260</v>
      </c>
      <c r="D28" s="59">
        <f t="shared" si="0"/>
        <v>0</v>
      </c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  <c r="S28" s="59"/>
      <c r="T28" s="59"/>
      <c r="U28" s="59"/>
      <c r="V28" s="59"/>
      <c r="W28" s="59"/>
      <c r="X28" s="59"/>
      <c r="Y28" s="59"/>
      <c r="Z28" s="59"/>
      <c r="AA28" s="59"/>
      <c r="AB28" s="59"/>
      <c r="AC28" s="59"/>
      <c r="AD28" s="59"/>
      <c r="AE28" s="59"/>
      <c r="AF28" s="59"/>
      <c r="AG28" s="59"/>
      <c r="AH28" s="59"/>
      <c r="AI28" s="59"/>
      <c r="AJ28" s="59"/>
      <c r="AK28" s="59"/>
      <c r="AL28" s="59"/>
      <c r="AM28" s="59"/>
      <c r="AO28" s="118">
        <v>3.6499999999999998E-2</v>
      </c>
    </row>
    <row r="29" spans="1:41" customFormat="1" ht="18" customHeight="1">
      <c r="B29" s="246" t="s">
        <v>409</v>
      </c>
      <c r="C29" s="247" t="s">
        <v>413</v>
      </c>
      <c r="D29" s="59">
        <f t="shared" si="0"/>
        <v>1910.7317458003799</v>
      </c>
      <c r="E29" s="59">
        <v>1910.7317458003799</v>
      </c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  <c r="AH29" s="59"/>
      <c r="AI29" s="59"/>
      <c r="AJ29" s="59"/>
      <c r="AK29" s="59"/>
      <c r="AL29" s="59"/>
      <c r="AM29" s="59"/>
      <c r="AO29" s="118"/>
    </row>
    <row r="30" spans="1:41" customFormat="1" ht="18" customHeight="1">
      <c r="B30" s="246" t="s">
        <v>410</v>
      </c>
      <c r="C30" s="247" t="s">
        <v>406</v>
      </c>
      <c r="D30" s="59">
        <f t="shared" si="0"/>
        <v>118.98313272594292</v>
      </c>
      <c r="E30" s="59">
        <v>118.98313272594292</v>
      </c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59"/>
      <c r="AE30" s="59"/>
      <c r="AF30" s="59"/>
      <c r="AG30" s="59"/>
      <c r="AH30" s="59"/>
      <c r="AI30" s="59"/>
      <c r="AJ30" s="59"/>
      <c r="AK30" s="59"/>
      <c r="AL30" s="59"/>
      <c r="AM30" s="59"/>
      <c r="AO30" s="118"/>
    </row>
    <row r="31" spans="1:41" customFormat="1" ht="18" customHeight="1">
      <c r="B31" s="246" t="s">
        <v>411</v>
      </c>
      <c r="C31" s="247" t="s">
        <v>407</v>
      </c>
      <c r="D31" s="59">
        <f t="shared" si="0"/>
        <v>45.084047423406503</v>
      </c>
      <c r="E31" s="59">
        <v>45.084047423406503</v>
      </c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59"/>
      <c r="AE31" s="59"/>
      <c r="AF31" s="59"/>
      <c r="AG31" s="59"/>
      <c r="AH31" s="59"/>
      <c r="AI31" s="59"/>
      <c r="AJ31" s="59"/>
      <c r="AK31" s="59"/>
      <c r="AL31" s="59"/>
      <c r="AM31" s="59"/>
      <c r="AO31" s="118"/>
    </row>
    <row r="32" spans="1:41" customFormat="1" ht="18" customHeight="1">
      <c r="B32" s="246" t="s">
        <v>412</v>
      </c>
      <c r="C32" s="247" t="s">
        <v>408</v>
      </c>
      <c r="D32" s="59">
        <f t="shared" si="0"/>
        <v>17.156220936007301</v>
      </c>
      <c r="E32" s="59">
        <f>IF('Painel de Controle'!$H$46="não",17.1562209360073-1927.73271,17.1562209360073)</f>
        <v>17.156220936007301</v>
      </c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  <c r="S32" s="59"/>
      <c r="T32" s="59"/>
      <c r="U32" s="59"/>
      <c r="V32" s="59"/>
      <c r="W32" s="59"/>
      <c r="X32" s="59"/>
      <c r="Y32" s="59"/>
      <c r="Z32" s="59"/>
      <c r="AA32" s="59"/>
      <c r="AB32" s="59"/>
      <c r="AC32" s="59"/>
      <c r="AD32" s="59"/>
      <c r="AE32" s="59"/>
      <c r="AF32" s="59"/>
      <c r="AG32" s="59"/>
      <c r="AH32" s="59"/>
      <c r="AI32" s="59"/>
      <c r="AJ32" s="59"/>
      <c r="AK32" s="59"/>
      <c r="AL32" s="59"/>
      <c r="AM32" s="59"/>
      <c r="AO32" s="118"/>
    </row>
    <row r="33" spans="1:256" s="33" customFormat="1" ht="24.95" customHeight="1">
      <c r="B33" s="37">
        <v>3</v>
      </c>
      <c r="C33" s="38" t="s">
        <v>156</v>
      </c>
      <c r="D33" s="35">
        <f>SUM(E33:AM33)</f>
        <v>4489.951709317631</v>
      </c>
      <c r="E33" s="35">
        <f t="shared" ref="E33:AM33" si="6">SUM(E34:E43)</f>
        <v>1663.1828678282948</v>
      </c>
      <c r="F33" s="35">
        <f t="shared" si="6"/>
        <v>2826.768841489336</v>
      </c>
      <c r="G33" s="35">
        <f t="shared" si="6"/>
        <v>0</v>
      </c>
      <c r="H33" s="35">
        <f t="shared" si="6"/>
        <v>0</v>
      </c>
      <c r="I33" s="35">
        <f t="shared" si="6"/>
        <v>0</v>
      </c>
      <c r="J33" s="35">
        <f t="shared" si="6"/>
        <v>0</v>
      </c>
      <c r="K33" s="35">
        <f t="shared" si="6"/>
        <v>0</v>
      </c>
      <c r="L33" s="35">
        <f t="shared" si="6"/>
        <v>0</v>
      </c>
      <c r="M33" s="35">
        <f t="shared" si="6"/>
        <v>0</v>
      </c>
      <c r="N33" s="35">
        <f t="shared" si="6"/>
        <v>0</v>
      </c>
      <c r="O33" s="35">
        <f t="shared" si="6"/>
        <v>0</v>
      </c>
      <c r="P33" s="35">
        <f t="shared" si="6"/>
        <v>0</v>
      </c>
      <c r="Q33" s="35">
        <f t="shared" si="6"/>
        <v>0</v>
      </c>
      <c r="R33" s="35">
        <f t="shared" si="6"/>
        <v>0</v>
      </c>
      <c r="S33" s="35">
        <f t="shared" si="6"/>
        <v>0</v>
      </c>
      <c r="T33" s="35">
        <f t="shared" si="6"/>
        <v>0</v>
      </c>
      <c r="U33" s="35">
        <f t="shared" si="6"/>
        <v>0</v>
      </c>
      <c r="V33" s="35">
        <f t="shared" si="6"/>
        <v>0</v>
      </c>
      <c r="W33" s="35">
        <f t="shared" si="6"/>
        <v>0</v>
      </c>
      <c r="X33" s="35">
        <f t="shared" si="6"/>
        <v>0</v>
      </c>
      <c r="Y33" s="35">
        <f t="shared" si="6"/>
        <v>0</v>
      </c>
      <c r="Z33" s="35">
        <f t="shared" si="6"/>
        <v>0</v>
      </c>
      <c r="AA33" s="35">
        <f t="shared" si="6"/>
        <v>0</v>
      </c>
      <c r="AB33" s="35">
        <f t="shared" si="6"/>
        <v>0</v>
      </c>
      <c r="AC33" s="35">
        <f t="shared" si="6"/>
        <v>0</v>
      </c>
      <c r="AD33" s="35">
        <f t="shared" si="6"/>
        <v>0</v>
      </c>
      <c r="AE33" s="35">
        <f t="shared" si="6"/>
        <v>0</v>
      </c>
      <c r="AF33" s="35">
        <f t="shared" si="6"/>
        <v>0</v>
      </c>
      <c r="AG33" s="35">
        <f t="shared" si="6"/>
        <v>0</v>
      </c>
      <c r="AH33" s="35">
        <f t="shared" si="6"/>
        <v>0</v>
      </c>
      <c r="AI33" s="35">
        <f t="shared" si="6"/>
        <v>0</v>
      </c>
      <c r="AJ33" s="35">
        <f t="shared" si="6"/>
        <v>0</v>
      </c>
      <c r="AK33" s="35">
        <f t="shared" si="6"/>
        <v>0</v>
      </c>
      <c r="AL33" s="35">
        <f t="shared" si="6"/>
        <v>0</v>
      </c>
      <c r="AM33" s="35">
        <f t="shared" si="6"/>
        <v>0</v>
      </c>
      <c r="AN33" s="97"/>
      <c r="AO33" s="35"/>
      <c r="AP33" s="97"/>
      <c r="AQ33" s="97"/>
      <c r="AR33" s="97"/>
      <c r="AS33" s="97"/>
      <c r="AT33" s="97"/>
      <c r="AU33" s="97"/>
      <c r="AV33" s="97"/>
      <c r="AW33" s="97"/>
      <c r="AX33" s="97"/>
      <c r="AY33" s="97"/>
      <c r="AZ33" s="97"/>
      <c r="BA33" s="97"/>
      <c r="BB33" s="97"/>
      <c r="BC33" s="97"/>
      <c r="BD33" s="97"/>
      <c r="BE33" s="97"/>
      <c r="BF33" s="97"/>
      <c r="BG33" s="97"/>
      <c r="BH33" s="97"/>
      <c r="BI33" s="97"/>
      <c r="BJ33" s="97"/>
      <c r="BK33" s="97"/>
      <c r="BL33" s="97"/>
      <c r="BM33" s="97"/>
      <c r="BN33" s="97"/>
      <c r="BO33" s="97"/>
      <c r="BP33" s="97"/>
      <c r="BQ33" s="97"/>
      <c r="BR33" s="97"/>
      <c r="BS33" s="97"/>
      <c r="BT33" s="97"/>
      <c r="BU33" s="97"/>
      <c r="BV33" s="97"/>
      <c r="BW33" s="97"/>
      <c r="BX33" s="97"/>
      <c r="BY33" s="97"/>
      <c r="BZ33" s="97"/>
      <c r="CA33" s="97"/>
      <c r="CB33" s="97"/>
      <c r="CC33" s="97"/>
      <c r="CD33" s="97"/>
      <c r="CE33" s="97"/>
      <c r="CF33" s="97"/>
      <c r="CG33" s="97"/>
      <c r="CH33" s="97"/>
      <c r="CI33" s="97"/>
      <c r="CJ33" s="97"/>
      <c r="CK33" s="97"/>
      <c r="CL33" s="97"/>
      <c r="CM33" s="97"/>
      <c r="CN33" s="97"/>
      <c r="CO33" s="97"/>
      <c r="CP33" s="97"/>
      <c r="CQ33" s="97"/>
      <c r="CR33" s="97"/>
      <c r="CS33" s="97"/>
      <c r="CT33" s="97"/>
      <c r="CU33" s="97"/>
      <c r="CV33" s="97"/>
      <c r="CW33" s="97"/>
      <c r="CX33" s="97"/>
      <c r="CY33" s="97"/>
      <c r="CZ33" s="97"/>
      <c r="DA33" s="97"/>
      <c r="DB33" s="97"/>
      <c r="DC33" s="97"/>
      <c r="DD33" s="97"/>
      <c r="DE33" s="97"/>
      <c r="DF33" s="97"/>
      <c r="DG33" s="97"/>
      <c r="DH33" s="97"/>
      <c r="DI33" s="97"/>
      <c r="DJ33" s="97"/>
      <c r="DK33" s="97"/>
      <c r="DL33" s="97"/>
      <c r="DM33" s="97"/>
      <c r="DN33" s="97"/>
      <c r="DO33" s="97"/>
      <c r="DP33" s="97"/>
      <c r="DQ33" s="97"/>
      <c r="DR33" s="97"/>
      <c r="DS33" s="97"/>
      <c r="DT33" s="97"/>
      <c r="DU33" s="97"/>
      <c r="DV33" s="97"/>
      <c r="DW33" s="97"/>
      <c r="DX33" s="97"/>
      <c r="DY33" s="97"/>
      <c r="DZ33" s="97"/>
      <c r="EA33" s="97"/>
      <c r="EB33" s="97"/>
      <c r="EC33" s="97"/>
      <c r="ED33" s="97"/>
      <c r="EE33" s="97"/>
      <c r="EF33" s="97"/>
      <c r="EG33" s="97"/>
      <c r="EH33" s="97"/>
      <c r="EI33" s="97"/>
      <c r="EJ33" s="97"/>
      <c r="EK33" s="97"/>
      <c r="EL33" s="97"/>
      <c r="EM33" s="97"/>
      <c r="EN33" s="97"/>
      <c r="EO33" s="97"/>
      <c r="EP33" s="97"/>
      <c r="EQ33" s="97"/>
      <c r="ER33" s="97"/>
      <c r="ES33" s="97"/>
      <c r="ET33" s="97"/>
      <c r="EU33" s="97"/>
      <c r="EV33" s="97"/>
      <c r="EW33" s="97"/>
      <c r="EX33" s="97"/>
      <c r="EY33" s="97"/>
      <c r="EZ33" s="97"/>
      <c r="FA33" s="97"/>
      <c r="FB33" s="97"/>
      <c r="FC33" s="97"/>
      <c r="FD33" s="97"/>
      <c r="FE33" s="97"/>
      <c r="FF33" s="97"/>
      <c r="FG33" s="97"/>
      <c r="FH33" s="97"/>
      <c r="FI33" s="97"/>
      <c r="FJ33" s="97"/>
      <c r="FK33" s="97"/>
      <c r="FL33" s="97"/>
      <c r="FM33" s="97"/>
      <c r="FN33" s="97"/>
      <c r="FO33" s="97"/>
      <c r="FP33" s="97"/>
      <c r="FQ33" s="97"/>
      <c r="FR33" s="97"/>
      <c r="FS33" s="97"/>
      <c r="FT33" s="97"/>
      <c r="FU33" s="97"/>
      <c r="FV33" s="97"/>
      <c r="FW33" s="97"/>
      <c r="FX33" s="97"/>
      <c r="FY33" s="97"/>
      <c r="FZ33" s="97"/>
      <c r="GA33" s="97"/>
      <c r="GB33" s="97"/>
      <c r="GC33" s="97"/>
      <c r="GD33" s="97"/>
      <c r="GE33" s="97"/>
      <c r="GF33" s="97"/>
      <c r="GG33" s="97"/>
      <c r="GH33" s="97"/>
      <c r="GI33" s="97"/>
      <c r="GJ33" s="97"/>
      <c r="GK33" s="97"/>
      <c r="GL33" s="97"/>
      <c r="GM33" s="97"/>
      <c r="GN33" s="97"/>
      <c r="GO33" s="97"/>
      <c r="GP33" s="97"/>
      <c r="GQ33" s="97"/>
      <c r="GR33" s="97"/>
      <c r="GS33" s="97"/>
      <c r="GT33" s="97"/>
      <c r="GU33" s="97"/>
      <c r="GV33" s="97"/>
      <c r="GW33" s="97"/>
      <c r="GX33" s="97"/>
      <c r="GY33" s="97"/>
      <c r="GZ33" s="97"/>
      <c r="HA33" s="97"/>
      <c r="HB33" s="97"/>
      <c r="HC33" s="97"/>
      <c r="HD33" s="97"/>
      <c r="HE33" s="97"/>
      <c r="HF33" s="97"/>
      <c r="HG33" s="97"/>
      <c r="HH33" s="97"/>
      <c r="HI33" s="97"/>
      <c r="HJ33" s="97"/>
      <c r="HK33" s="97"/>
      <c r="HL33" s="97"/>
      <c r="HM33" s="97"/>
      <c r="HN33" s="97"/>
      <c r="HO33" s="97"/>
      <c r="HP33" s="97"/>
      <c r="HQ33" s="97"/>
      <c r="HR33" s="97"/>
      <c r="HS33" s="97"/>
      <c r="HT33" s="97"/>
      <c r="HU33" s="97"/>
      <c r="HV33" s="97"/>
      <c r="HW33" s="97"/>
      <c r="HX33" s="97"/>
      <c r="HY33" s="97"/>
      <c r="HZ33" s="97"/>
      <c r="IA33" s="97"/>
      <c r="IB33" s="97"/>
      <c r="IC33" s="97"/>
      <c r="ID33" s="97"/>
      <c r="IE33" s="97"/>
      <c r="IF33" s="97"/>
      <c r="IG33" s="97"/>
      <c r="IH33" s="97"/>
      <c r="II33" s="97"/>
      <c r="IJ33" s="97"/>
      <c r="IK33" s="97"/>
      <c r="IL33" s="97"/>
      <c r="IM33" s="97"/>
      <c r="IN33" s="97"/>
      <c r="IO33" s="97"/>
      <c r="IP33" s="97"/>
      <c r="IQ33" s="97"/>
      <c r="IR33" s="97"/>
      <c r="IS33" s="97"/>
      <c r="IT33" s="97"/>
      <c r="IU33" s="97"/>
      <c r="IV33" s="97"/>
    </row>
    <row r="34" spans="1:256" ht="18" customHeight="1">
      <c r="B34" s="57" t="s">
        <v>187</v>
      </c>
      <c r="C34" s="58" t="s">
        <v>157</v>
      </c>
      <c r="D34" s="59">
        <f t="shared" ref="D34:D43" si="7">SUM(E34:AM34)</f>
        <v>3027.2904649797147</v>
      </c>
      <c r="E34" s="59">
        <v>1156.2628552363637</v>
      </c>
      <c r="F34" s="59">
        <v>1871.0276097433509</v>
      </c>
      <c r="G34" s="167"/>
      <c r="H34" s="167"/>
      <c r="I34" s="167"/>
      <c r="J34" s="167"/>
      <c r="K34" s="167"/>
      <c r="L34" s="167"/>
      <c r="M34" s="167"/>
      <c r="N34" s="167"/>
      <c r="O34" s="167"/>
      <c r="P34" s="167"/>
      <c r="Q34" s="167"/>
      <c r="R34" s="167"/>
      <c r="S34" s="167"/>
      <c r="T34" s="167"/>
      <c r="U34" s="167"/>
      <c r="V34" s="167"/>
      <c r="W34" s="167"/>
      <c r="X34" s="167"/>
      <c r="Y34" s="167"/>
      <c r="Z34" s="167"/>
      <c r="AA34" s="167"/>
      <c r="AB34" s="167"/>
      <c r="AC34" s="167"/>
      <c r="AD34" s="167"/>
      <c r="AE34" s="167"/>
      <c r="AF34" s="167"/>
      <c r="AG34" s="167"/>
      <c r="AH34" s="167"/>
      <c r="AI34" s="167"/>
      <c r="AJ34" s="167"/>
      <c r="AK34" s="167"/>
      <c r="AL34" s="167"/>
      <c r="AM34" s="167"/>
      <c r="AO34" s="118">
        <v>3.6499999999999998E-2</v>
      </c>
    </row>
    <row r="35" spans="1:256" customFormat="1" ht="18" customHeight="1">
      <c r="B35" s="57" t="s">
        <v>188</v>
      </c>
      <c r="C35" s="58" t="s">
        <v>161</v>
      </c>
      <c r="D35" s="59">
        <f t="shared" si="7"/>
        <v>336.3656072199683</v>
      </c>
      <c r="E35" s="59">
        <v>128.47365058181819</v>
      </c>
      <c r="F35" s="59">
        <v>207.89195663815011</v>
      </c>
      <c r="G35" s="167"/>
      <c r="H35" s="167"/>
      <c r="I35" s="167"/>
      <c r="J35" s="167"/>
      <c r="K35" s="167"/>
      <c r="L35" s="167"/>
      <c r="M35" s="167"/>
      <c r="N35" s="167"/>
      <c r="O35" s="167"/>
      <c r="P35" s="167"/>
      <c r="Q35" s="167"/>
      <c r="R35" s="167"/>
      <c r="S35" s="167"/>
      <c r="T35" s="167"/>
      <c r="U35" s="167"/>
      <c r="V35" s="167"/>
      <c r="W35" s="167"/>
      <c r="X35" s="167"/>
      <c r="Y35" s="167"/>
      <c r="Z35" s="167"/>
      <c r="AA35" s="167"/>
      <c r="AB35" s="167"/>
      <c r="AC35" s="167"/>
      <c r="AD35" s="167"/>
      <c r="AE35" s="167"/>
      <c r="AF35" s="167"/>
      <c r="AG35" s="167"/>
      <c r="AH35" s="167"/>
      <c r="AI35" s="167"/>
      <c r="AJ35" s="167"/>
      <c r="AK35" s="167"/>
      <c r="AL35" s="167"/>
      <c r="AM35" s="167"/>
      <c r="AO35" s="118">
        <v>3.6499999999999998E-2</v>
      </c>
    </row>
    <row r="36" spans="1:256" customFormat="1" ht="18" customHeight="1">
      <c r="B36" s="57" t="s">
        <v>146</v>
      </c>
      <c r="C36" s="58" t="s">
        <v>163</v>
      </c>
      <c r="D36" s="59">
        <f t="shared" si="7"/>
        <v>0</v>
      </c>
      <c r="E36" s="59"/>
      <c r="F36" s="59"/>
      <c r="G36" s="167"/>
      <c r="H36" s="167"/>
      <c r="I36" s="167"/>
      <c r="J36" s="167"/>
      <c r="K36" s="167"/>
      <c r="L36" s="167"/>
      <c r="M36" s="167"/>
      <c r="N36" s="167"/>
      <c r="O36" s="167"/>
      <c r="P36" s="167"/>
      <c r="Q36" s="167"/>
      <c r="R36" s="167"/>
      <c r="S36" s="167"/>
      <c r="T36" s="167"/>
      <c r="U36" s="167"/>
      <c r="V36" s="167"/>
      <c r="W36" s="167"/>
      <c r="X36" s="167"/>
      <c r="Y36" s="167"/>
      <c r="Z36" s="167"/>
      <c r="AA36" s="167"/>
      <c r="AB36" s="167"/>
      <c r="AC36" s="167"/>
      <c r="AD36" s="167"/>
      <c r="AE36" s="167"/>
      <c r="AF36" s="167"/>
      <c r="AG36" s="167"/>
      <c r="AH36" s="167"/>
      <c r="AI36" s="167"/>
      <c r="AJ36" s="167"/>
      <c r="AK36" s="167"/>
      <c r="AL36" s="167"/>
      <c r="AM36" s="167"/>
      <c r="AO36" s="118">
        <v>3.6499999999999998E-2</v>
      </c>
    </row>
    <row r="37" spans="1:256" customFormat="1" ht="18" customHeight="1">
      <c r="B37" s="57" t="s">
        <v>261</v>
      </c>
      <c r="C37" s="58" t="s">
        <v>164</v>
      </c>
      <c r="D37" s="59">
        <f t="shared" si="7"/>
        <v>601.50955731662998</v>
      </c>
      <c r="E37" s="59">
        <v>252.5632703654008</v>
      </c>
      <c r="F37" s="59">
        <v>348.94628695122924</v>
      </c>
      <c r="G37" s="167"/>
      <c r="H37" s="167"/>
      <c r="I37" s="167"/>
      <c r="J37" s="167"/>
      <c r="K37" s="167"/>
      <c r="L37" s="167"/>
      <c r="M37" s="167"/>
      <c r="N37" s="167"/>
      <c r="O37" s="167"/>
      <c r="P37" s="167"/>
      <c r="Q37" s="167"/>
      <c r="R37" s="167"/>
      <c r="S37" s="167"/>
      <c r="T37" s="167"/>
      <c r="U37" s="167"/>
      <c r="V37" s="167"/>
      <c r="W37" s="167"/>
      <c r="X37" s="167"/>
      <c r="Y37" s="167"/>
      <c r="Z37" s="167"/>
      <c r="AA37" s="167"/>
      <c r="AB37" s="167"/>
      <c r="AC37" s="167"/>
      <c r="AD37" s="167"/>
      <c r="AE37" s="167"/>
      <c r="AF37" s="167"/>
      <c r="AG37" s="167"/>
      <c r="AH37" s="167"/>
      <c r="AI37" s="167"/>
      <c r="AJ37" s="167"/>
      <c r="AK37" s="167"/>
      <c r="AL37" s="167"/>
      <c r="AM37" s="167"/>
      <c r="AO37" s="118">
        <v>3.6499999999999998E-2</v>
      </c>
    </row>
    <row r="38" spans="1:256" customFormat="1" ht="18" customHeight="1">
      <c r="B38" s="57" t="s">
        <v>262</v>
      </c>
      <c r="C38" s="58" t="s">
        <v>165</v>
      </c>
      <c r="D38" s="59">
        <f t="shared" si="7"/>
        <v>106.14874540881706</v>
      </c>
      <c r="E38" s="59">
        <v>44.569988888011906</v>
      </c>
      <c r="F38" s="59">
        <v>61.57875652080515</v>
      </c>
      <c r="G38" s="167"/>
      <c r="H38" s="167"/>
      <c r="I38" s="167"/>
      <c r="J38" s="167"/>
      <c r="K38" s="167"/>
      <c r="L38" s="167"/>
      <c r="M38" s="167"/>
      <c r="N38" s="167"/>
      <c r="O38" s="167"/>
      <c r="P38" s="167"/>
      <c r="Q38" s="167"/>
      <c r="R38" s="167"/>
      <c r="S38" s="167"/>
      <c r="T38" s="167"/>
      <c r="U38" s="167"/>
      <c r="V38" s="167"/>
      <c r="W38" s="167"/>
      <c r="X38" s="167"/>
      <c r="Y38" s="167"/>
      <c r="Z38" s="167"/>
      <c r="AA38" s="167"/>
      <c r="AB38" s="167"/>
      <c r="AC38" s="167"/>
      <c r="AD38" s="167"/>
      <c r="AE38" s="167"/>
      <c r="AF38" s="167"/>
      <c r="AG38" s="167"/>
      <c r="AH38" s="167"/>
      <c r="AI38" s="167"/>
      <c r="AJ38" s="167"/>
      <c r="AK38" s="167"/>
      <c r="AL38" s="167"/>
      <c r="AM38" s="167"/>
      <c r="AO38" s="118">
        <v>3.6499999999999998E-2</v>
      </c>
    </row>
    <row r="39" spans="1:256" customFormat="1" ht="18" customHeight="1">
      <c r="B39" s="57" t="s">
        <v>263</v>
      </c>
      <c r="C39" s="58" t="s">
        <v>166</v>
      </c>
      <c r="D39" s="59">
        <f t="shared" si="7"/>
        <v>0</v>
      </c>
      <c r="E39" s="59"/>
      <c r="F39" s="59"/>
      <c r="G39" s="167"/>
      <c r="H39" s="167"/>
      <c r="I39" s="167"/>
      <c r="J39" s="167"/>
      <c r="K39" s="167"/>
      <c r="L39" s="167"/>
      <c r="M39" s="167"/>
      <c r="N39" s="167"/>
      <c r="O39" s="167"/>
      <c r="P39" s="167"/>
      <c r="Q39" s="167"/>
      <c r="R39" s="167"/>
      <c r="S39" s="167"/>
      <c r="T39" s="167"/>
      <c r="U39" s="167"/>
      <c r="V39" s="167"/>
      <c r="W39" s="167"/>
      <c r="X39" s="167"/>
      <c r="Y39" s="167"/>
      <c r="Z39" s="167"/>
      <c r="AA39" s="167"/>
      <c r="AB39" s="167"/>
      <c r="AC39" s="167"/>
      <c r="AD39" s="167"/>
      <c r="AE39" s="167"/>
      <c r="AF39" s="167"/>
      <c r="AG39" s="167"/>
      <c r="AH39" s="167"/>
      <c r="AI39" s="167"/>
      <c r="AJ39" s="167"/>
      <c r="AK39" s="167"/>
      <c r="AL39" s="167"/>
      <c r="AM39" s="167"/>
      <c r="AO39" s="118">
        <v>3.6499999999999998E-2</v>
      </c>
    </row>
    <row r="40" spans="1:256" customFormat="1" ht="18" customHeight="1">
      <c r="B40" s="246" t="s">
        <v>264</v>
      </c>
      <c r="C40" s="247" t="s">
        <v>167</v>
      </c>
      <c r="D40" s="59">
        <f t="shared" si="7"/>
        <v>150.66966652320005</v>
      </c>
      <c r="E40" s="59">
        <v>50.223222174400014</v>
      </c>
      <c r="F40" s="59">
        <v>100.44644434880003</v>
      </c>
      <c r="G40" s="167"/>
      <c r="H40" s="167"/>
      <c r="I40" s="167"/>
      <c r="J40" s="167"/>
      <c r="K40" s="167"/>
      <c r="L40" s="167"/>
      <c r="M40" s="167"/>
      <c r="N40" s="167"/>
      <c r="O40" s="167"/>
      <c r="P40" s="167"/>
      <c r="Q40" s="167"/>
      <c r="R40" s="167"/>
      <c r="S40" s="167"/>
      <c r="T40" s="167"/>
      <c r="U40" s="167"/>
      <c r="V40" s="167"/>
      <c r="W40" s="167"/>
      <c r="X40" s="167"/>
      <c r="Y40" s="167"/>
      <c r="Z40" s="167"/>
      <c r="AA40" s="167"/>
      <c r="AB40" s="167"/>
      <c r="AC40" s="167"/>
      <c r="AD40" s="167"/>
      <c r="AE40" s="167"/>
      <c r="AF40" s="167"/>
      <c r="AG40" s="167"/>
      <c r="AH40" s="167"/>
      <c r="AI40" s="167"/>
      <c r="AJ40" s="167"/>
      <c r="AK40" s="167"/>
      <c r="AL40" s="167"/>
      <c r="AM40" s="167"/>
      <c r="AO40" s="118">
        <v>3.6499999999999998E-2</v>
      </c>
    </row>
    <row r="41" spans="1:256" customFormat="1" ht="18" customHeight="1">
      <c r="B41" s="246" t="s">
        <v>265</v>
      </c>
      <c r="C41" s="247" t="s">
        <v>168</v>
      </c>
      <c r="D41" s="59">
        <f t="shared" si="7"/>
        <v>206.97816816400004</v>
      </c>
      <c r="E41" s="59"/>
      <c r="F41" s="59">
        <v>206.97816816400004</v>
      </c>
      <c r="G41" s="167"/>
      <c r="H41" s="167"/>
      <c r="I41" s="167"/>
      <c r="J41" s="167"/>
      <c r="K41" s="167"/>
      <c r="L41" s="167"/>
      <c r="M41" s="167"/>
      <c r="N41" s="167"/>
      <c r="O41" s="167"/>
      <c r="P41" s="167"/>
      <c r="Q41" s="167"/>
      <c r="R41" s="167"/>
      <c r="S41" s="167"/>
      <c r="T41" s="167"/>
      <c r="U41" s="167"/>
      <c r="V41" s="167"/>
      <c r="W41" s="167"/>
      <c r="X41" s="167"/>
      <c r="Y41" s="167"/>
      <c r="Z41" s="167"/>
      <c r="AA41" s="167"/>
      <c r="AB41" s="167"/>
      <c r="AC41" s="167"/>
      <c r="AD41" s="167"/>
      <c r="AE41" s="167"/>
      <c r="AF41" s="167"/>
      <c r="AG41" s="167"/>
      <c r="AH41" s="167"/>
      <c r="AI41" s="167"/>
      <c r="AJ41" s="167"/>
      <c r="AK41" s="167"/>
      <c r="AL41" s="167"/>
      <c r="AM41" s="167"/>
      <c r="AO41" s="118">
        <v>3.6499999999999998E-2</v>
      </c>
    </row>
    <row r="42" spans="1:256" customFormat="1" ht="18" customHeight="1">
      <c r="B42" s="57" t="s">
        <v>266</v>
      </c>
      <c r="C42" s="58" t="s">
        <v>169</v>
      </c>
      <c r="D42" s="59">
        <f t="shared" si="7"/>
        <v>13.630549519299999</v>
      </c>
      <c r="E42" s="59">
        <v>7.4104054892999995</v>
      </c>
      <c r="F42" s="59">
        <v>6.2201440299999993</v>
      </c>
      <c r="G42" s="167"/>
      <c r="H42" s="167"/>
      <c r="I42" s="167"/>
      <c r="J42" s="167"/>
      <c r="K42" s="167"/>
      <c r="L42" s="167"/>
      <c r="M42" s="167"/>
      <c r="N42" s="167"/>
      <c r="O42" s="167"/>
      <c r="P42" s="167"/>
      <c r="Q42" s="167"/>
      <c r="R42" s="167"/>
      <c r="S42" s="167"/>
      <c r="T42" s="167"/>
      <c r="U42" s="167"/>
      <c r="V42" s="167"/>
      <c r="W42" s="167"/>
      <c r="X42" s="167"/>
      <c r="Y42" s="167"/>
      <c r="Z42" s="167"/>
      <c r="AA42" s="167"/>
      <c r="AB42" s="167"/>
      <c r="AC42" s="167"/>
      <c r="AD42" s="167"/>
      <c r="AE42" s="167"/>
      <c r="AF42" s="167"/>
      <c r="AG42" s="167"/>
      <c r="AH42" s="167"/>
      <c r="AI42" s="167"/>
      <c r="AJ42" s="167"/>
      <c r="AK42" s="167"/>
      <c r="AL42" s="167"/>
      <c r="AM42" s="167"/>
      <c r="AO42" s="118">
        <v>3.6499999999999998E-2</v>
      </c>
    </row>
    <row r="43" spans="1:256" customFormat="1" ht="18" customHeight="1">
      <c r="A43" t="s">
        <v>363</v>
      </c>
      <c r="B43" s="57" t="s">
        <v>267</v>
      </c>
      <c r="C43" s="58" t="s">
        <v>374</v>
      </c>
      <c r="D43" s="59">
        <f t="shared" si="7"/>
        <v>47.358950186000001</v>
      </c>
      <c r="E43" s="59">
        <v>23.679475093000001</v>
      </c>
      <c r="F43" s="59">
        <v>23.679475093000001</v>
      </c>
      <c r="G43" s="167"/>
      <c r="H43" s="167"/>
      <c r="I43" s="167"/>
      <c r="J43" s="167"/>
      <c r="K43" s="167"/>
      <c r="L43" s="167"/>
      <c r="M43" s="167"/>
      <c r="N43" s="167"/>
      <c r="O43" s="167"/>
      <c r="P43" s="167"/>
      <c r="Q43" s="167"/>
      <c r="R43" s="167"/>
      <c r="S43" s="167"/>
      <c r="T43" s="167"/>
      <c r="U43" s="167"/>
      <c r="V43" s="167"/>
      <c r="W43" s="167"/>
      <c r="X43" s="167"/>
      <c r="Y43" s="167"/>
      <c r="Z43" s="167"/>
      <c r="AA43" s="167"/>
      <c r="AB43" s="167"/>
      <c r="AC43" s="167"/>
      <c r="AD43" s="167"/>
      <c r="AE43" s="167"/>
      <c r="AF43" s="167"/>
      <c r="AG43" s="167"/>
      <c r="AH43" s="167"/>
      <c r="AI43" s="167"/>
      <c r="AJ43" s="167"/>
      <c r="AK43" s="167"/>
      <c r="AL43" s="167"/>
      <c r="AM43" s="167"/>
      <c r="AO43" s="118">
        <v>3.6499999999999998E-2</v>
      </c>
    </row>
    <row r="44" spans="1:256" s="1" customFormat="1" ht="24.95" customHeight="1">
      <c r="B44" s="37">
        <v>4</v>
      </c>
      <c r="C44" s="38" t="s">
        <v>144</v>
      </c>
      <c r="D44" s="35">
        <f>SUM(E44:AM44)</f>
        <v>77837.26102849649</v>
      </c>
      <c r="E44" s="35">
        <f>E45+E49+E55+E56+E57+E58+E59+E60+E61+E62+E63+E64+E68+E69+E70+E71</f>
        <v>9919.5956445079792</v>
      </c>
      <c r="F44" s="35">
        <f t="shared" ref="F44:AM44" si="8">F45+F49+F55+F56+F57+F58+F59+F60+F61+F62+F63+F64+F68+F69+F70+F71</f>
        <v>5398.7440224806041</v>
      </c>
      <c r="G44" s="35">
        <f>G45+G49+G55+G56+G57+G58+G59+G60+G61+G62+G63+G64+G68+G69+G70+G71</f>
        <v>1646.7005958226571</v>
      </c>
      <c r="H44" s="35">
        <f t="shared" si="8"/>
        <v>367.66711972500002</v>
      </c>
      <c r="I44" s="35">
        <f t="shared" si="8"/>
        <v>140.34109760000001</v>
      </c>
      <c r="J44" s="35">
        <f>J45+J49+J55+J56+J57+J58+J59+J60+J61+J62+J63+J64+J68+J69+J70+J71</f>
        <v>514.96414800000002</v>
      </c>
      <c r="K44" s="35">
        <f t="shared" si="8"/>
        <v>797.30138431250009</v>
      </c>
      <c r="L44" s="35">
        <f t="shared" si="8"/>
        <v>317.53280000000007</v>
      </c>
      <c r="M44" s="35">
        <f t="shared" si="8"/>
        <v>1332.8662550449219</v>
      </c>
      <c r="N44" s="35">
        <f t="shared" si="8"/>
        <v>499.69838906250004</v>
      </c>
      <c r="O44" s="35">
        <f t="shared" si="8"/>
        <v>2838.3173468749997</v>
      </c>
      <c r="P44" s="35">
        <f t="shared" si="8"/>
        <v>0</v>
      </c>
      <c r="Q44" s="35">
        <f t="shared" si="8"/>
        <v>645.35598906250004</v>
      </c>
      <c r="R44" s="35">
        <f t="shared" si="8"/>
        <v>11741.873168716796</v>
      </c>
      <c r="S44" s="35">
        <f t="shared" si="8"/>
        <v>1325.1904</v>
      </c>
      <c r="T44" s="35">
        <f t="shared" si="8"/>
        <v>1621.5813890625</v>
      </c>
      <c r="U44" s="35">
        <f t="shared" si="8"/>
        <v>1900.3029733208</v>
      </c>
      <c r="V44" s="35">
        <f t="shared" si="8"/>
        <v>0</v>
      </c>
      <c r="W44" s="35">
        <f t="shared" si="8"/>
        <v>1832.5646441074221</v>
      </c>
      <c r="X44" s="35">
        <f t="shared" si="8"/>
        <v>0</v>
      </c>
      <c r="Y44" s="35">
        <f t="shared" si="8"/>
        <v>3121.7653468749995</v>
      </c>
      <c r="Z44" s="35">
        <f t="shared" si="8"/>
        <v>817.23118906249999</v>
      </c>
      <c r="AA44" s="35">
        <f t="shared" si="8"/>
        <v>145.6576</v>
      </c>
      <c r="AB44" s="35">
        <f t="shared" si="8"/>
        <v>13782.637956802737</v>
      </c>
      <c r="AC44" s="35">
        <f t="shared" si="8"/>
        <v>645.35598906250004</v>
      </c>
      <c r="AD44" s="35">
        <f t="shared" si="8"/>
        <v>808.75799999999992</v>
      </c>
      <c r="AE44" s="35">
        <f t="shared" si="8"/>
        <v>461.06060000000002</v>
      </c>
      <c r="AF44" s="35">
        <f t="shared" si="8"/>
        <v>499.69838906250004</v>
      </c>
      <c r="AG44" s="35">
        <f t="shared" si="8"/>
        <v>2835.891336294922</v>
      </c>
      <c r="AH44" s="35">
        <f t="shared" si="8"/>
        <v>645.62919999999997</v>
      </c>
      <c r="AI44" s="35">
        <f t="shared" si="8"/>
        <v>4782.7243240234402</v>
      </c>
      <c r="AJ44" s="35">
        <f t="shared" si="8"/>
        <v>0</v>
      </c>
      <c r="AK44" s="35">
        <f t="shared" si="8"/>
        <v>145.6576</v>
      </c>
      <c r="AL44" s="35">
        <f t="shared" si="8"/>
        <v>5570.8146331117196</v>
      </c>
      <c r="AM44" s="35">
        <f t="shared" si="8"/>
        <v>733.7814965</v>
      </c>
      <c r="AO44" s="35"/>
    </row>
    <row r="45" spans="1:256" ht="18" customHeight="1">
      <c r="B45" s="57" t="s">
        <v>158</v>
      </c>
      <c r="C45" s="58" t="s">
        <v>204</v>
      </c>
      <c r="D45" s="59">
        <f t="shared" ref="D45:D71" si="9">SUM(E45:AM45)</f>
        <v>12626.002962925</v>
      </c>
      <c r="E45" s="59">
        <f>SUM(E46:E48)</f>
        <v>1802.3693480000002</v>
      </c>
      <c r="F45" s="59">
        <f t="shared" ref="F45:AM45" si="10">SUM(F46:F48)</f>
        <v>0</v>
      </c>
      <c r="G45" s="59">
        <f t="shared" si="10"/>
        <v>140.34109760000001</v>
      </c>
      <c r="H45" s="59">
        <f t="shared" si="10"/>
        <v>367.66711972500002</v>
      </c>
      <c r="I45" s="59">
        <f t="shared" si="10"/>
        <v>140.34109760000001</v>
      </c>
      <c r="J45" s="59">
        <f t="shared" si="10"/>
        <v>241.86199999999999</v>
      </c>
      <c r="K45" s="59">
        <f t="shared" si="10"/>
        <v>527.25295000000006</v>
      </c>
      <c r="L45" s="59">
        <f t="shared" si="10"/>
        <v>317.53280000000007</v>
      </c>
      <c r="M45" s="59">
        <f t="shared" si="10"/>
        <v>145.6576</v>
      </c>
      <c r="N45" s="59">
        <f t="shared" si="10"/>
        <v>381.59535000000005</v>
      </c>
      <c r="O45" s="59">
        <f t="shared" si="10"/>
        <v>791.28679999999997</v>
      </c>
      <c r="P45" s="59">
        <f t="shared" si="10"/>
        <v>0</v>
      </c>
      <c r="Q45" s="59">
        <f t="shared" si="10"/>
        <v>527.25295000000006</v>
      </c>
      <c r="R45" s="59">
        <f t="shared" si="10"/>
        <v>0</v>
      </c>
      <c r="S45" s="59">
        <f t="shared" si="10"/>
        <v>463.19040000000001</v>
      </c>
      <c r="T45" s="59">
        <f t="shared" si="10"/>
        <v>623.45734999999991</v>
      </c>
      <c r="U45" s="59">
        <f t="shared" si="10"/>
        <v>145.6576</v>
      </c>
      <c r="V45" s="59">
        <f t="shared" si="10"/>
        <v>0</v>
      </c>
      <c r="W45" s="59">
        <f t="shared" si="10"/>
        <v>527.25295000000006</v>
      </c>
      <c r="X45" s="59">
        <f t="shared" si="10"/>
        <v>0</v>
      </c>
      <c r="Y45" s="59">
        <f t="shared" si="10"/>
        <v>791.28679999999997</v>
      </c>
      <c r="Z45" s="59">
        <f t="shared" si="10"/>
        <v>699.12815000000001</v>
      </c>
      <c r="AA45" s="59">
        <f t="shared" si="10"/>
        <v>145.6576</v>
      </c>
      <c r="AB45" s="59">
        <f t="shared" si="10"/>
        <v>0</v>
      </c>
      <c r="AC45" s="59">
        <f t="shared" si="10"/>
        <v>527.25295000000006</v>
      </c>
      <c r="AD45" s="59">
        <f t="shared" si="10"/>
        <v>241.86199999999999</v>
      </c>
      <c r="AE45" s="59">
        <f t="shared" si="10"/>
        <v>145.6576</v>
      </c>
      <c r="AF45" s="59">
        <f t="shared" si="10"/>
        <v>381.59535000000005</v>
      </c>
      <c r="AG45" s="59">
        <f t="shared" si="10"/>
        <v>463.19040000000001</v>
      </c>
      <c r="AH45" s="59">
        <f t="shared" si="10"/>
        <v>645.62919999999997</v>
      </c>
      <c r="AI45" s="59">
        <f t="shared" si="10"/>
        <v>527.25295000000006</v>
      </c>
      <c r="AJ45" s="59">
        <f t="shared" si="10"/>
        <v>0</v>
      </c>
      <c r="AK45" s="59">
        <f t="shared" si="10"/>
        <v>145.6576</v>
      </c>
      <c r="AL45" s="59">
        <f t="shared" si="10"/>
        <v>381.59535000000005</v>
      </c>
      <c r="AM45" s="59">
        <f t="shared" si="10"/>
        <v>387.51959999999997</v>
      </c>
      <c r="AO45" s="59"/>
    </row>
    <row r="46" spans="1:256" ht="18" customHeight="1">
      <c r="A46" s="98"/>
      <c r="B46" s="60" t="s">
        <v>159</v>
      </c>
      <c r="C46" s="61" t="s">
        <v>145</v>
      </c>
      <c r="D46" s="13">
        <f t="shared" si="9"/>
        <v>10115.2053473</v>
      </c>
      <c r="E46" s="123">
        <v>1539.0207105000002</v>
      </c>
      <c r="F46" s="123">
        <v>0</v>
      </c>
      <c r="G46" s="123">
        <v>140.34109760000001</v>
      </c>
      <c r="H46" s="123">
        <v>170.15564160000002</v>
      </c>
      <c r="I46" s="123">
        <v>140.34109760000001</v>
      </c>
      <c r="J46" s="123">
        <v>241.86199999999999</v>
      </c>
      <c r="K46" s="123">
        <v>322.25920000000002</v>
      </c>
      <c r="L46" s="123">
        <v>317.53280000000007</v>
      </c>
      <c r="M46" s="123">
        <v>145.6576</v>
      </c>
      <c r="N46" s="123">
        <v>176.60160000000002</v>
      </c>
      <c r="O46" s="123">
        <v>791.28679999999997</v>
      </c>
      <c r="P46" s="123">
        <v>0</v>
      </c>
      <c r="Q46" s="123">
        <v>322.25920000000002</v>
      </c>
      <c r="R46" s="123">
        <v>0</v>
      </c>
      <c r="S46" s="123">
        <v>463.19040000000001</v>
      </c>
      <c r="T46" s="123">
        <v>418.46359999999999</v>
      </c>
      <c r="U46" s="123">
        <v>145.6576</v>
      </c>
      <c r="V46" s="123">
        <v>0</v>
      </c>
      <c r="W46" s="123">
        <v>322.25920000000002</v>
      </c>
      <c r="X46" s="123">
        <v>0</v>
      </c>
      <c r="Y46" s="123">
        <v>791.28679999999997</v>
      </c>
      <c r="Z46" s="123">
        <v>494.13440000000003</v>
      </c>
      <c r="AA46" s="123">
        <v>145.6576</v>
      </c>
      <c r="AB46" s="123">
        <v>0</v>
      </c>
      <c r="AC46" s="123">
        <v>322.25920000000002</v>
      </c>
      <c r="AD46" s="123">
        <v>241.86199999999999</v>
      </c>
      <c r="AE46" s="123">
        <v>145.6576</v>
      </c>
      <c r="AF46" s="123">
        <v>176.60160000000002</v>
      </c>
      <c r="AG46" s="123">
        <v>463.19040000000001</v>
      </c>
      <c r="AH46" s="123">
        <v>645.62919999999997</v>
      </c>
      <c r="AI46" s="123">
        <v>322.25920000000002</v>
      </c>
      <c r="AJ46" s="123">
        <v>0</v>
      </c>
      <c r="AK46" s="123">
        <v>145.6576</v>
      </c>
      <c r="AL46" s="123">
        <v>176.60160000000002</v>
      </c>
      <c r="AM46" s="123">
        <v>387.51959999999997</v>
      </c>
      <c r="AO46" s="152">
        <v>3.6499999999999998E-2</v>
      </c>
    </row>
    <row r="47" spans="1:256" ht="18" customHeight="1">
      <c r="A47" s="98"/>
      <c r="B47" s="60" t="s">
        <v>162</v>
      </c>
      <c r="C47" s="61" t="s">
        <v>189</v>
      </c>
      <c r="D47" s="13">
        <f t="shared" si="9"/>
        <v>318.05120587499999</v>
      </c>
      <c r="E47" s="123">
        <v>33.359260499999998</v>
      </c>
      <c r="F47" s="123">
        <v>0</v>
      </c>
      <c r="G47" s="123">
        <v>0</v>
      </c>
      <c r="H47" s="123">
        <v>25.019445375</v>
      </c>
      <c r="I47" s="123">
        <v>0</v>
      </c>
      <c r="J47" s="123">
        <v>0</v>
      </c>
      <c r="K47" s="123">
        <v>25.96725</v>
      </c>
      <c r="L47" s="123">
        <v>0</v>
      </c>
      <c r="M47" s="123">
        <v>0</v>
      </c>
      <c r="N47" s="123">
        <v>25.96725</v>
      </c>
      <c r="O47" s="123">
        <v>0</v>
      </c>
      <c r="P47" s="123">
        <v>0</v>
      </c>
      <c r="Q47" s="123">
        <v>25.96725</v>
      </c>
      <c r="R47" s="123">
        <v>0</v>
      </c>
      <c r="S47" s="123">
        <v>0</v>
      </c>
      <c r="T47" s="123">
        <v>25.96725</v>
      </c>
      <c r="U47" s="123">
        <v>0</v>
      </c>
      <c r="V47" s="123">
        <v>0</v>
      </c>
      <c r="W47" s="123">
        <v>25.96725</v>
      </c>
      <c r="X47" s="123">
        <v>0</v>
      </c>
      <c r="Y47" s="123">
        <v>0</v>
      </c>
      <c r="Z47" s="123">
        <v>25.96725</v>
      </c>
      <c r="AA47" s="123">
        <v>0</v>
      </c>
      <c r="AB47" s="123">
        <v>0</v>
      </c>
      <c r="AC47" s="123">
        <v>25.96725</v>
      </c>
      <c r="AD47" s="123">
        <v>0</v>
      </c>
      <c r="AE47" s="123">
        <v>0</v>
      </c>
      <c r="AF47" s="123">
        <v>25.96725</v>
      </c>
      <c r="AG47" s="123">
        <v>0</v>
      </c>
      <c r="AH47" s="123">
        <v>0</v>
      </c>
      <c r="AI47" s="123">
        <v>25.96725</v>
      </c>
      <c r="AJ47" s="123">
        <v>0</v>
      </c>
      <c r="AK47" s="123">
        <v>0</v>
      </c>
      <c r="AL47" s="123">
        <v>25.96725</v>
      </c>
      <c r="AM47" s="123">
        <v>0</v>
      </c>
      <c r="AO47" s="152">
        <v>3.6499999999999998E-2</v>
      </c>
    </row>
    <row r="48" spans="1:256" ht="18" customHeight="1">
      <c r="A48" s="98"/>
      <c r="B48" s="60" t="s">
        <v>160</v>
      </c>
      <c r="C48" s="61" t="s">
        <v>190</v>
      </c>
      <c r="D48" s="13">
        <f t="shared" si="9"/>
        <v>2192.7464097499997</v>
      </c>
      <c r="E48" s="123">
        <v>229.98937699999999</v>
      </c>
      <c r="F48" s="123">
        <v>0</v>
      </c>
      <c r="G48" s="123">
        <v>0</v>
      </c>
      <c r="H48" s="123">
        <v>172.49203274999999</v>
      </c>
      <c r="I48" s="123">
        <v>0</v>
      </c>
      <c r="J48" s="123">
        <v>0</v>
      </c>
      <c r="K48" s="123">
        <v>179.0265</v>
      </c>
      <c r="L48" s="123">
        <v>0</v>
      </c>
      <c r="M48" s="123">
        <v>0</v>
      </c>
      <c r="N48" s="123">
        <v>179.0265</v>
      </c>
      <c r="O48" s="123">
        <v>0</v>
      </c>
      <c r="P48" s="123">
        <v>0</v>
      </c>
      <c r="Q48" s="123">
        <v>179.0265</v>
      </c>
      <c r="R48" s="123">
        <v>0</v>
      </c>
      <c r="S48" s="123">
        <v>0</v>
      </c>
      <c r="T48" s="123">
        <v>179.0265</v>
      </c>
      <c r="U48" s="123">
        <v>0</v>
      </c>
      <c r="V48" s="123">
        <v>0</v>
      </c>
      <c r="W48" s="123">
        <v>179.0265</v>
      </c>
      <c r="X48" s="123">
        <v>0</v>
      </c>
      <c r="Y48" s="123">
        <v>0</v>
      </c>
      <c r="Z48" s="123">
        <v>179.0265</v>
      </c>
      <c r="AA48" s="123">
        <v>0</v>
      </c>
      <c r="AB48" s="123">
        <v>0</v>
      </c>
      <c r="AC48" s="123">
        <v>179.0265</v>
      </c>
      <c r="AD48" s="123">
        <v>0</v>
      </c>
      <c r="AE48" s="123">
        <v>0</v>
      </c>
      <c r="AF48" s="123">
        <v>179.0265</v>
      </c>
      <c r="AG48" s="123">
        <v>0</v>
      </c>
      <c r="AH48" s="123">
        <v>0</v>
      </c>
      <c r="AI48" s="123">
        <v>179.0265</v>
      </c>
      <c r="AJ48" s="123">
        <v>0</v>
      </c>
      <c r="AK48" s="123">
        <v>0</v>
      </c>
      <c r="AL48" s="123">
        <v>179.0265</v>
      </c>
      <c r="AM48" s="123">
        <v>0</v>
      </c>
      <c r="AO48" s="152">
        <v>3.6499999999999998E-2</v>
      </c>
    </row>
    <row r="49" spans="2:41" ht="18" customHeight="1">
      <c r="B49" s="57" t="s">
        <v>199</v>
      </c>
      <c r="C49" s="58" t="s">
        <v>194</v>
      </c>
      <c r="D49" s="59">
        <f t="shared" si="9"/>
        <v>24418.734072210937</v>
      </c>
      <c r="E49" s="59">
        <f>SUM(E50:E54)</f>
        <v>3811.730198160938</v>
      </c>
      <c r="F49" s="59">
        <f t="shared" ref="F49:AM49" si="11">SUM(F50:F54)</f>
        <v>3370.1703334249996</v>
      </c>
      <c r="G49" s="59">
        <f t="shared" si="11"/>
        <v>0</v>
      </c>
      <c r="H49" s="59">
        <f t="shared" si="11"/>
        <v>0</v>
      </c>
      <c r="I49" s="59">
        <f t="shared" si="11"/>
        <v>0</v>
      </c>
      <c r="J49" s="59">
        <f t="shared" si="11"/>
        <v>0</v>
      </c>
      <c r="K49" s="59">
        <f t="shared" si="11"/>
        <v>0</v>
      </c>
      <c r="L49" s="59">
        <f t="shared" si="11"/>
        <v>0</v>
      </c>
      <c r="M49" s="59">
        <f t="shared" si="11"/>
        <v>0</v>
      </c>
      <c r="N49" s="59">
        <f t="shared" si="11"/>
        <v>0</v>
      </c>
      <c r="O49" s="59">
        <f t="shared" si="11"/>
        <v>1750.5075468750001</v>
      </c>
      <c r="P49" s="59">
        <f t="shared" si="11"/>
        <v>0</v>
      </c>
      <c r="Q49" s="59">
        <f t="shared" si="11"/>
        <v>0</v>
      </c>
      <c r="R49" s="59">
        <f t="shared" si="11"/>
        <v>4733.4628750000002</v>
      </c>
      <c r="S49" s="59">
        <f t="shared" si="11"/>
        <v>0</v>
      </c>
      <c r="T49" s="59">
        <f t="shared" si="11"/>
        <v>312.5</v>
      </c>
      <c r="U49" s="59">
        <f t="shared" si="11"/>
        <v>0</v>
      </c>
      <c r="V49" s="59">
        <f t="shared" si="11"/>
        <v>0</v>
      </c>
      <c r="W49" s="59">
        <f t="shared" si="11"/>
        <v>0</v>
      </c>
      <c r="X49" s="59">
        <f t="shared" si="11"/>
        <v>0</v>
      </c>
      <c r="Y49" s="59">
        <f t="shared" si="11"/>
        <v>1750.5075468750001</v>
      </c>
      <c r="Z49" s="59">
        <f t="shared" si="11"/>
        <v>0</v>
      </c>
      <c r="AA49" s="59">
        <f t="shared" si="11"/>
        <v>0</v>
      </c>
      <c r="AB49" s="59">
        <f t="shared" si="11"/>
        <v>4733.4628750000002</v>
      </c>
      <c r="AC49" s="59">
        <f t="shared" si="11"/>
        <v>0</v>
      </c>
      <c r="AD49" s="59">
        <f t="shared" si="11"/>
        <v>0</v>
      </c>
      <c r="AE49" s="59">
        <f t="shared" si="11"/>
        <v>0</v>
      </c>
      <c r="AF49" s="59">
        <f t="shared" si="11"/>
        <v>0</v>
      </c>
      <c r="AG49" s="59">
        <f t="shared" si="11"/>
        <v>0</v>
      </c>
      <c r="AH49" s="59">
        <f t="shared" si="11"/>
        <v>0</v>
      </c>
      <c r="AI49" s="59">
        <f t="shared" si="11"/>
        <v>2063.0075468750001</v>
      </c>
      <c r="AJ49" s="59">
        <f t="shared" si="11"/>
        <v>0</v>
      </c>
      <c r="AK49" s="59">
        <f t="shared" si="11"/>
        <v>0</v>
      </c>
      <c r="AL49" s="59">
        <f t="shared" si="11"/>
        <v>1893.3851500000001</v>
      </c>
      <c r="AM49" s="59">
        <f t="shared" si="11"/>
        <v>0</v>
      </c>
      <c r="AO49" s="59"/>
    </row>
    <row r="50" spans="2:41" s="15" customFormat="1" ht="18" customHeight="1">
      <c r="B50" s="60" t="s">
        <v>205</v>
      </c>
      <c r="C50" s="61" t="s">
        <v>251</v>
      </c>
      <c r="D50" s="13">
        <f t="shared" si="9"/>
        <v>5944.8797832046876</v>
      </c>
      <c r="E50" s="123"/>
      <c r="F50" s="123">
        <v>1800.5232007046875</v>
      </c>
      <c r="G50" s="123">
        <v>0</v>
      </c>
      <c r="H50" s="123">
        <v>0</v>
      </c>
      <c r="I50" s="123">
        <v>0</v>
      </c>
      <c r="J50" s="123">
        <v>0</v>
      </c>
      <c r="K50" s="123">
        <v>0</v>
      </c>
      <c r="L50" s="123">
        <v>0</v>
      </c>
      <c r="M50" s="123">
        <v>0</v>
      </c>
      <c r="N50" s="123">
        <v>0</v>
      </c>
      <c r="O50" s="123">
        <v>0</v>
      </c>
      <c r="P50" s="123">
        <v>0</v>
      </c>
      <c r="Q50" s="123">
        <v>0</v>
      </c>
      <c r="R50" s="123">
        <v>1674.731909375</v>
      </c>
      <c r="S50" s="123">
        <v>0</v>
      </c>
      <c r="T50" s="123">
        <v>62.5</v>
      </c>
      <c r="U50" s="123">
        <v>0</v>
      </c>
      <c r="V50" s="123">
        <v>0</v>
      </c>
      <c r="W50" s="123">
        <v>0</v>
      </c>
      <c r="X50" s="123">
        <v>0</v>
      </c>
      <c r="Y50" s="123">
        <v>0</v>
      </c>
      <c r="Z50" s="123">
        <v>0</v>
      </c>
      <c r="AA50" s="123">
        <v>0</v>
      </c>
      <c r="AB50" s="123">
        <v>1674.731909375</v>
      </c>
      <c r="AC50" s="123">
        <v>0</v>
      </c>
      <c r="AD50" s="123">
        <v>0</v>
      </c>
      <c r="AE50" s="123">
        <v>0</v>
      </c>
      <c r="AF50" s="123">
        <v>0</v>
      </c>
      <c r="AG50" s="123">
        <v>0</v>
      </c>
      <c r="AH50" s="123">
        <v>0</v>
      </c>
      <c r="AI50" s="123">
        <v>62.5</v>
      </c>
      <c r="AJ50" s="123">
        <v>0</v>
      </c>
      <c r="AK50" s="123">
        <v>0</v>
      </c>
      <c r="AL50" s="123">
        <v>669.89276375000009</v>
      </c>
      <c r="AM50" s="123">
        <v>0</v>
      </c>
      <c r="AO50" s="152">
        <v>3.6499999999999998E-2</v>
      </c>
    </row>
    <row r="51" spans="2:41" s="15" customFormat="1" ht="18" customHeight="1">
      <c r="B51" s="60" t="s">
        <v>191</v>
      </c>
      <c r="C51" s="61" t="s">
        <v>252</v>
      </c>
      <c r="D51" s="13">
        <f t="shared" si="9"/>
        <v>4355.8874402203128</v>
      </c>
      <c r="E51" s="123">
        <v>1270.5767327203127</v>
      </c>
      <c r="F51" s="123">
        <v>74.767600000000002</v>
      </c>
      <c r="G51" s="123">
        <v>0</v>
      </c>
      <c r="H51" s="123">
        <v>0</v>
      </c>
      <c r="I51" s="123">
        <v>0</v>
      </c>
      <c r="J51" s="123">
        <v>0</v>
      </c>
      <c r="K51" s="123">
        <v>0</v>
      </c>
      <c r="L51" s="123">
        <v>0</v>
      </c>
      <c r="M51" s="123">
        <v>0</v>
      </c>
      <c r="N51" s="123">
        <v>0</v>
      </c>
      <c r="O51" s="123">
        <v>0</v>
      </c>
      <c r="P51" s="123">
        <v>0</v>
      </c>
      <c r="Q51" s="123">
        <v>0</v>
      </c>
      <c r="R51" s="123">
        <v>1202.309628125</v>
      </c>
      <c r="S51" s="123">
        <v>0</v>
      </c>
      <c r="T51" s="123">
        <v>62.5</v>
      </c>
      <c r="U51" s="123">
        <v>0</v>
      </c>
      <c r="V51" s="123">
        <v>0</v>
      </c>
      <c r="W51" s="123">
        <v>0</v>
      </c>
      <c r="X51" s="123">
        <v>0</v>
      </c>
      <c r="Y51" s="123">
        <v>0</v>
      </c>
      <c r="Z51" s="123">
        <v>0</v>
      </c>
      <c r="AA51" s="123">
        <v>0</v>
      </c>
      <c r="AB51" s="123">
        <v>1202.309628125</v>
      </c>
      <c r="AC51" s="123">
        <v>0</v>
      </c>
      <c r="AD51" s="123">
        <v>0</v>
      </c>
      <c r="AE51" s="123">
        <v>0</v>
      </c>
      <c r="AF51" s="123">
        <v>0</v>
      </c>
      <c r="AG51" s="123">
        <v>0</v>
      </c>
      <c r="AH51" s="123">
        <v>0</v>
      </c>
      <c r="AI51" s="123">
        <v>62.5</v>
      </c>
      <c r="AJ51" s="123">
        <v>0</v>
      </c>
      <c r="AK51" s="123">
        <v>0</v>
      </c>
      <c r="AL51" s="123">
        <v>480.92385125000004</v>
      </c>
      <c r="AM51" s="123">
        <v>0</v>
      </c>
      <c r="AO51" s="152">
        <v>3.6499999999999998E-2</v>
      </c>
    </row>
    <row r="52" spans="2:41" s="15" customFormat="1" ht="18" customHeight="1">
      <c r="B52" s="60" t="s">
        <v>192</v>
      </c>
      <c r="C52" s="61" t="s">
        <v>253</v>
      </c>
      <c r="D52" s="13">
        <f t="shared" si="9"/>
        <v>4705.988949595313</v>
      </c>
      <c r="E52" s="123">
        <v>1270.5767327203127</v>
      </c>
      <c r="F52" s="123">
        <v>74.767600000000002</v>
      </c>
      <c r="G52" s="123">
        <v>0</v>
      </c>
      <c r="H52" s="123">
        <v>0</v>
      </c>
      <c r="I52" s="123">
        <v>0</v>
      </c>
      <c r="J52" s="123">
        <v>0</v>
      </c>
      <c r="K52" s="123">
        <v>0</v>
      </c>
      <c r="L52" s="123">
        <v>0</v>
      </c>
      <c r="M52" s="123">
        <v>0</v>
      </c>
      <c r="N52" s="123">
        <v>0</v>
      </c>
      <c r="O52" s="123">
        <v>583.502515625</v>
      </c>
      <c r="P52" s="123">
        <v>0</v>
      </c>
      <c r="Q52" s="123">
        <v>0</v>
      </c>
      <c r="R52" s="123">
        <v>618.80711250000002</v>
      </c>
      <c r="S52" s="123">
        <v>0</v>
      </c>
      <c r="T52" s="123">
        <v>62.5</v>
      </c>
      <c r="U52" s="123">
        <v>0</v>
      </c>
      <c r="V52" s="123">
        <v>0</v>
      </c>
      <c r="W52" s="123">
        <v>0</v>
      </c>
      <c r="X52" s="123">
        <v>0</v>
      </c>
      <c r="Y52" s="123">
        <v>583.502515625</v>
      </c>
      <c r="Z52" s="123">
        <v>0</v>
      </c>
      <c r="AA52" s="123">
        <v>0</v>
      </c>
      <c r="AB52" s="123">
        <v>618.80711250000002</v>
      </c>
      <c r="AC52" s="123">
        <v>0</v>
      </c>
      <c r="AD52" s="123">
        <v>0</v>
      </c>
      <c r="AE52" s="123">
        <v>0</v>
      </c>
      <c r="AF52" s="123">
        <v>0</v>
      </c>
      <c r="AG52" s="123">
        <v>0</v>
      </c>
      <c r="AH52" s="123">
        <v>0</v>
      </c>
      <c r="AI52" s="123">
        <v>646.002515625</v>
      </c>
      <c r="AJ52" s="123">
        <v>0</v>
      </c>
      <c r="AK52" s="123">
        <v>0</v>
      </c>
      <c r="AL52" s="123">
        <v>247.52284499999999</v>
      </c>
      <c r="AM52" s="123">
        <v>0</v>
      </c>
      <c r="AO52" s="152">
        <v>3.6499999999999998E-2</v>
      </c>
    </row>
    <row r="53" spans="2:41" s="15" customFormat="1" ht="18" customHeight="1">
      <c r="B53" s="60" t="s">
        <v>206</v>
      </c>
      <c r="C53" s="61" t="s">
        <v>254</v>
      </c>
      <c r="D53" s="13">
        <f t="shared" si="9"/>
        <v>4705.988949595313</v>
      </c>
      <c r="E53" s="123">
        <v>1270.5767327203127</v>
      </c>
      <c r="F53" s="123">
        <v>74.767600000000002</v>
      </c>
      <c r="G53" s="123">
        <v>0</v>
      </c>
      <c r="H53" s="123">
        <v>0</v>
      </c>
      <c r="I53" s="123">
        <v>0</v>
      </c>
      <c r="J53" s="123">
        <v>0</v>
      </c>
      <c r="K53" s="123">
        <v>0</v>
      </c>
      <c r="L53" s="123">
        <v>0</v>
      </c>
      <c r="M53" s="123">
        <v>0</v>
      </c>
      <c r="N53" s="123">
        <v>0</v>
      </c>
      <c r="O53" s="123">
        <v>583.502515625</v>
      </c>
      <c r="P53" s="123">
        <v>0</v>
      </c>
      <c r="Q53" s="123">
        <v>0</v>
      </c>
      <c r="R53" s="123">
        <v>618.80711250000002</v>
      </c>
      <c r="S53" s="123">
        <v>0</v>
      </c>
      <c r="T53" s="123">
        <v>62.5</v>
      </c>
      <c r="U53" s="123">
        <v>0</v>
      </c>
      <c r="V53" s="123">
        <v>0</v>
      </c>
      <c r="W53" s="123">
        <v>0</v>
      </c>
      <c r="X53" s="123">
        <v>0</v>
      </c>
      <c r="Y53" s="123">
        <v>583.502515625</v>
      </c>
      <c r="Z53" s="123">
        <v>0</v>
      </c>
      <c r="AA53" s="123">
        <v>0</v>
      </c>
      <c r="AB53" s="123">
        <v>618.80711250000002</v>
      </c>
      <c r="AC53" s="123">
        <v>0</v>
      </c>
      <c r="AD53" s="123">
        <v>0</v>
      </c>
      <c r="AE53" s="123">
        <v>0</v>
      </c>
      <c r="AF53" s="123">
        <v>0</v>
      </c>
      <c r="AG53" s="123">
        <v>0</v>
      </c>
      <c r="AH53" s="123">
        <v>0</v>
      </c>
      <c r="AI53" s="123">
        <v>646.002515625</v>
      </c>
      <c r="AJ53" s="123">
        <v>0</v>
      </c>
      <c r="AK53" s="123">
        <v>0</v>
      </c>
      <c r="AL53" s="123">
        <v>247.52284499999999</v>
      </c>
      <c r="AM53" s="123">
        <v>0</v>
      </c>
      <c r="AO53" s="152">
        <v>3.6499999999999998E-2</v>
      </c>
    </row>
    <row r="54" spans="2:41" s="15" customFormat="1" ht="18" customHeight="1">
      <c r="B54" s="60" t="s">
        <v>232</v>
      </c>
      <c r="C54" s="61" t="s">
        <v>255</v>
      </c>
      <c r="D54" s="13">
        <f t="shared" si="9"/>
        <v>4705.988949595313</v>
      </c>
      <c r="E54" s="123"/>
      <c r="F54" s="123">
        <v>1345.3443327203127</v>
      </c>
      <c r="G54" s="123">
        <v>0</v>
      </c>
      <c r="H54" s="123">
        <v>0</v>
      </c>
      <c r="I54" s="123">
        <v>0</v>
      </c>
      <c r="J54" s="123">
        <v>0</v>
      </c>
      <c r="K54" s="123">
        <v>0</v>
      </c>
      <c r="L54" s="123">
        <v>0</v>
      </c>
      <c r="M54" s="123">
        <v>0</v>
      </c>
      <c r="N54" s="123">
        <v>0</v>
      </c>
      <c r="O54" s="123">
        <v>583.502515625</v>
      </c>
      <c r="P54" s="123">
        <v>0</v>
      </c>
      <c r="Q54" s="123">
        <v>0</v>
      </c>
      <c r="R54" s="123">
        <v>618.80711250000002</v>
      </c>
      <c r="S54" s="123">
        <v>0</v>
      </c>
      <c r="T54" s="123">
        <v>62.5</v>
      </c>
      <c r="U54" s="123">
        <v>0</v>
      </c>
      <c r="V54" s="123">
        <v>0</v>
      </c>
      <c r="W54" s="123">
        <v>0</v>
      </c>
      <c r="X54" s="123">
        <v>0</v>
      </c>
      <c r="Y54" s="123">
        <v>583.502515625</v>
      </c>
      <c r="Z54" s="123">
        <v>0</v>
      </c>
      <c r="AA54" s="123">
        <v>0</v>
      </c>
      <c r="AB54" s="123">
        <v>618.80711250000002</v>
      </c>
      <c r="AC54" s="123">
        <v>0</v>
      </c>
      <c r="AD54" s="123">
        <v>0</v>
      </c>
      <c r="AE54" s="123">
        <v>0</v>
      </c>
      <c r="AF54" s="123">
        <v>0</v>
      </c>
      <c r="AG54" s="123">
        <v>0</v>
      </c>
      <c r="AH54" s="123">
        <v>0</v>
      </c>
      <c r="AI54" s="123">
        <v>646.002515625</v>
      </c>
      <c r="AJ54" s="123">
        <v>0</v>
      </c>
      <c r="AK54" s="123">
        <v>0</v>
      </c>
      <c r="AL54" s="123">
        <v>247.52284499999999</v>
      </c>
      <c r="AM54" s="123">
        <v>0</v>
      </c>
      <c r="AO54" s="152">
        <v>3.6499999999999998E-2</v>
      </c>
    </row>
    <row r="55" spans="2:41" ht="18" customHeight="1">
      <c r="B55" s="57" t="s">
        <v>200</v>
      </c>
      <c r="C55" s="58" t="s">
        <v>170</v>
      </c>
      <c r="D55" s="59">
        <f t="shared" si="9"/>
        <v>0</v>
      </c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59"/>
      <c r="AA55" s="5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O55" s="118">
        <v>3.6499999999999998E-2</v>
      </c>
    </row>
    <row r="56" spans="2:41" s="15" customFormat="1" ht="18" customHeight="1">
      <c r="B56" s="246" t="s">
        <v>201</v>
      </c>
      <c r="C56" s="247" t="s">
        <v>147</v>
      </c>
      <c r="D56" s="59">
        <f t="shared" si="9"/>
        <v>0</v>
      </c>
      <c r="E56" s="413" cm="1">
        <f t="array" ref="E56">_xlfn.IFS('Painel de Controle'!$H$34="Pleito 3",'Exclusões de M&amp;E'!F5,'Painel de Controle'!$H$34="Pleito 2",'Exclusões de M&amp;E'!F4,'Painel de Controle'!$H$34="Pleito 8",'Exclusões de M&amp;E'!F6)</f>
        <v>0</v>
      </c>
      <c r="F56" s="413" cm="1">
        <f t="array" ref="F56">_xlfn.IFS('Painel de Controle'!$H$34="Pleito 3",'Exclusões de M&amp;E'!G5,'Painel de Controle'!$H$34="Pleito 2",'Exclusões de M&amp;E'!G4,'Painel de Controle'!$H$34="Pleito 8",'Exclusões de M&amp;E'!G6)</f>
        <v>0</v>
      </c>
      <c r="G56" s="413" cm="1">
        <f t="array" ref="G56">_xlfn.IFS('Painel de Controle'!$H$34="Pleito 3",'Exclusões de M&amp;E'!H5,'Painel de Controle'!$H$34="Pleito 2",'Exclusões de M&amp;E'!H4,'Painel de Controle'!$H$34="Pleito 8",'Exclusões de M&amp;E'!H6)</f>
        <v>0</v>
      </c>
      <c r="H56" s="413" cm="1">
        <f t="array" ref="H56">_xlfn.IFS('Painel de Controle'!$H$34="Pleito 3",'Exclusões de M&amp;E'!I5,'Painel de Controle'!$H$34="Pleito 2",'Exclusões de M&amp;E'!I4,'Painel de Controle'!$H$34="Pleito 8",'Exclusões de M&amp;E'!I6)</f>
        <v>0</v>
      </c>
      <c r="I56" s="413" cm="1">
        <f t="array" ref="I56">_xlfn.IFS('Painel de Controle'!$H$34="Pleito 3",'Exclusões de M&amp;E'!J5,'Painel de Controle'!$H$34="Pleito 2",'Exclusões de M&amp;E'!J4,'Painel de Controle'!$H$34="Pleito 8",'Exclusões de M&amp;E'!J6)</f>
        <v>0</v>
      </c>
      <c r="J56" s="413" cm="1">
        <f t="array" ref="J56">_xlfn.IFS('Painel de Controle'!$H$34="Pleito 3",'Exclusões de M&amp;E'!K5,'Painel de Controle'!$H$34="Pleito 2",'Exclusões de M&amp;E'!K4,'Painel de Controle'!$H$34="Pleito 8",'Exclusões de M&amp;E'!K6)</f>
        <v>0</v>
      </c>
      <c r="K56" s="413" cm="1">
        <f t="array" ref="K56">_xlfn.IFS('Painel de Controle'!$H$34="Pleito 3",'Exclusões de M&amp;E'!L5,'Painel de Controle'!$H$34="Pleito 2",'Exclusões de M&amp;E'!L4,'Painel de Controle'!$H$34="Pleito 8",'Exclusões de M&amp;E'!L6)</f>
        <v>0</v>
      </c>
      <c r="L56" s="413" cm="1">
        <f t="array" ref="L56">_xlfn.IFS('Painel de Controle'!$H$34="Pleito 3",'Exclusões de M&amp;E'!M5,'Painel de Controle'!$H$34="Pleito 2",'Exclusões de M&amp;E'!M4,'Painel de Controle'!$H$34="Pleito 8",'Exclusões de M&amp;E'!M6)</f>
        <v>0</v>
      </c>
      <c r="M56" s="413" cm="1">
        <f t="array" ref="M56">_xlfn.IFS('Painel de Controle'!$H$34="Pleito 3",'Exclusões de M&amp;E'!N5,'Painel de Controle'!$H$34="Pleito 2",'Exclusões de M&amp;E'!N4,'Painel de Controle'!$H$34="Pleito 8",'Exclusões de M&amp;E'!N6)</f>
        <v>0</v>
      </c>
      <c r="N56" s="413" cm="1">
        <f t="array" ref="N56">_xlfn.IFS('Painel de Controle'!$H$34="Pleito 3",'Exclusões de M&amp;E'!O5,'Painel de Controle'!$H$34="Pleito 2",'Exclusões de M&amp;E'!O4,'Painel de Controle'!$H$34="Pleito 8",'Exclusões de M&amp;E'!O6)</f>
        <v>0</v>
      </c>
      <c r="O56" s="413" cm="1">
        <f t="array" ref="O56">_xlfn.IFS('Painel de Controle'!$H$34="Pleito 3",'Exclusões de M&amp;E'!P5,'Painel de Controle'!$H$34="Pleito 2",'Exclusões de M&amp;E'!P4,'Painel de Controle'!$H$34="Pleito 8",'Exclusões de M&amp;E'!P6)</f>
        <v>0</v>
      </c>
      <c r="P56" s="413" cm="1">
        <f t="array" ref="P56">_xlfn.IFS('Painel de Controle'!$H$34="Pleito 3",'Exclusões de M&amp;E'!Q5,'Painel de Controle'!$H$34="Pleito 2",'Exclusões de M&amp;E'!Q4,'Painel de Controle'!$H$34="Pleito 8",'Exclusões de M&amp;E'!Q6)</f>
        <v>0</v>
      </c>
      <c r="Q56" s="413" cm="1">
        <f t="array" ref="Q56">_xlfn.IFS('Painel de Controle'!$H$34="Pleito 3",'Exclusões de M&amp;E'!R5,'Painel de Controle'!$H$34="Pleito 2",'Exclusões de M&amp;E'!R4,'Painel de Controle'!$H$34="Pleito 8",'Exclusões de M&amp;E'!R6)</f>
        <v>0</v>
      </c>
      <c r="R56" s="413" cm="1">
        <f t="array" ref="R56">_xlfn.IFS('Painel de Controle'!$H$34="Pleito 3",'Exclusões de M&amp;E'!S5,'Painel de Controle'!$H$34="Pleito 2",'Exclusões de M&amp;E'!S4,'Painel de Controle'!$H$34="Pleito 8",'Exclusões de M&amp;E'!S6)</f>
        <v>0</v>
      </c>
      <c r="S56" s="413" cm="1">
        <f t="array" ref="S56">_xlfn.IFS('Painel de Controle'!$H$34="Pleito 3",'Exclusões de M&amp;E'!T5,'Painel de Controle'!$H$34="Pleito 2",'Exclusões de M&amp;E'!T4,'Painel de Controle'!$H$34="Pleito 8",'Exclusões de M&amp;E'!T6)</f>
        <v>0</v>
      </c>
      <c r="T56" s="413" cm="1">
        <f t="array" ref="T56">_xlfn.IFS('Painel de Controle'!$H$34="Pleito 3",'Exclusões de M&amp;E'!U5,'Painel de Controle'!$H$34="Pleito 2",'Exclusões de M&amp;E'!U4,'Painel de Controle'!$H$34="Pleito 8",'Exclusões de M&amp;E'!U6)</f>
        <v>0</v>
      </c>
      <c r="U56" s="413" cm="1">
        <f t="array" ref="U56">_xlfn.IFS('Painel de Controle'!$H$34="Pleito 3",'Exclusões de M&amp;E'!V5,'Painel de Controle'!$H$34="Pleito 2",'Exclusões de M&amp;E'!V4,'Painel de Controle'!$H$34="Pleito 8",'Exclusões de M&amp;E'!V6)</f>
        <v>0</v>
      </c>
      <c r="V56" s="413" cm="1">
        <f t="array" ref="V56">_xlfn.IFS('Painel de Controle'!$H$34="Pleito 3",'Exclusões de M&amp;E'!W5,'Painel de Controle'!$H$34="Pleito 2",'Exclusões de M&amp;E'!W4,'Painel de Controle'!$H$34="Pleito 8",'Exclusões de M&amp;E'!W6)</f>
        <v>0</v>
      </c>
      <c r="W56" s="413" cm="1">
        <f t="array" ref="W56">_xlfn.IFS('Painel de Controle'!$H$34="Pleito 3",'Exclusões de M&amp;E'!X5,'Painel de Controle'!$H$34="Pleito 2",'Exclusões de M&amp;E'!X4,'Painel de Controle'!$H$34="Pleito 8",'Exclusões de M&amp;E'!X6)</f>
        <v>0</v>
      </c>
      <c r="X56" s="413" cm="1">
        <f t="array" ref="X56">_xlfn.IFS('Painel de Controle'!$H$34="Pleito 3",'Exclusões de M&amp;E'!Y5,'Painel de Controle'!$H$34="Pleito 2",'Exclusões de M&amp;E'!Y4,'Painel de Controle'!$H$34="Pleito 8",'Exclusões de M&amp;E'!Y6)</f>
        <v>0</v>
      </c>
      <c r="Y56" s="413" cm="1">
        <f t="array" ref="Y56">_xlfn.IFS('Painel de Controle'!$H$34="Pleito 3",'Exclusões de M&amp;E'!Z5,'Painel de Controle'!$H$34="Pleito 2",'Exclusões de M&amp;E'!Z4,'Painel de Controle'!$H$34="Pleito 8",'Exclusões de M&amp;E'!Z6)</f>
        <v>0</v>
      </c>
      <c r="Z56" s="413" cm="1">
        <f t="array" ref="Z56">_xlfn.IFS('Painel de Controle'!$H$34="Pleito 3",'Exclusões de M&amp;E'!AA5,'Painel de Controle'!$H$34="Pleito 2",'Exclusões de M&amp;E'!AA4,'Painel de Controle'!$H$34="Pleito 8",'Exclusões de M&amp;E'!AA6)</f>
        <v>0</v>
      </c>
      <c r="AA56" s="413" cm="1">
        <f t="array" ref="AA56">_xlfn.IFS('Painel de Controle'!$H$34="Pleito 3",'Exclusões de M&amp;E'!AB5,'Painel de Controle'!$H$34="Pleito 2",'Exclusões de M&amp;E'!AB4,'Painel de Controle'!$H$34="Pleito 8",'Exclusões de M&amp;E'!AB6)</f>
        <v>0</v>
      </c>
      <c r="AB56" s="413" cm="1">
        <f t="array" ref="AB56">_xlfn.IFS('Painel de Controle'!$H$34="Pleito 3",'Exclusões de M&amp;E'!AC5,'Painel de Controle'!$H$34="Pleito 2",'Exclusões de M&amp;E'!AC4,'Painel de Controle'!$H$34="Pleito 8",'Exclusões de M&amp;E'!AC6)</f>
        <v>0</v>
      </c>
      <c r="AC56" s="413" cm="1">
        <f t="array" ref="AC56">_xlfn.IFS('Painel de Controle'!$H$34="Pleito 3",'Exclusões de M&amp;E'!AD5,'Painel de Controle'!$H$34="Pleito 2",'Exclusões de M&amp;E'!AD4,'Painel de Controle'!$H$34="Pleito 8",'Exclusões de M&amp;E'!AD6)</f>
        <v>0</v>
      </c>
      <c r="AD56" s="413" cm="1">
        <f t="array" ref="AD56">_xlfn.IFS('Painel de Controle'!$H$34="Pleito 3",'Exclusões de M&amp;E'!AE5,'Painel de Controle'!$H$34="Pleito 2",'Exclusões de M&amp;E'!AE4,'Painel de Controle'!$H$34="Pleito 8",'Exclusões de M&amp;E'!AE6)</f>
        <v>0</v>
      </c>
      <c r="AE56" s="413" cm="1">
        <f t="array" ref="AE56">_xlfn.IFS('Painel de Controle'!$H$34="Pleito 3",'Exclusões de M&amp;E'!AF5,'Painel de Controle'!$H$34="Pleito 2",'Exclusões de M&amp;E'!AF4,'Painel de Controle'!$H$34="Pleito 8",'Exclusões de M&amp;E'!AF6)</f>
        <v>0</v>
      </c>
      <c r="AF56" s="413" cm="1">
        <f t="array" ref="AF56">_xlfn.IFS('Painel de Controle'!$H$34="Pleito 3",'Exclusões de M&amp;E'!AG5,'Painel de Controle'!$H$34="Pleito 2",'Exclusões de M&amp;E'!AG4,'Painel de Controle'!$H$34="Pleito 8",'Exclusões de M&amp;E'!AG6)</f>
        <v>0</v>
      </c>
      <c r="AG56" s="413" cm="1">
        <f t="array" ref="AG56">_xlfn.IFS('Painel de Controle'!$H$34="Pleito 3",'Exclusões de M&amp;E'!AH5,'Painel de Controle'!$H$34="Pleito 2",'Exclusões de M&amp;E'!AH4,'Painel de Controle'!$H$34="Pleito 8",'Exclusões de M&amp;E'!AH6)</f>
        <v>0</v>
      </c>
      <c r="AH56" s="413" cm="1">
        <f t="array" ref="AH56">_xlfn.IFS('Painel de Controle'!$H$34="Pleito 3",'Exclusões de M&amp;E'!AI5,'Painel de Controle'!$H$34="Pleito 2",'Exclusões de M&amp;E'!AI4,'Painel de Controle'!$H$34="Pleito 8",'Exclusões de M&amp;E'!AI6)</f>
        <v>0</v>
      </c>
      <c r="AI56" s="413" cm="1">
        <f t="array" ref="AI56">_xlfn.IFS('Painel de Controle'!$H$34="Pleito 3",'Exclusões de M&amp;E'!AJ5,'Painel de Controle'!$H$34="Pleito 2",'Exclusões de M&amp;E'!AJ4,'Painel de Controle'!$H$34="Pleito 8",'Exclusões de M&amp;E'!AJ6)</f>
        <v>0</v>
      </c>
      <c r="AJ56" s="413" cm="1">
        <f t="array" ref="AJ56">_xlfn.IFS('Painel de Controle'!$H$34="Pleito 3",'Exclusões de M&amp;E'!AK5,'Painel de Controle'!$H$34="Pleito 2",'Exclusões de M&amp;E'!AK4,'Painel de Controle'!$H$34="Pleito 8",'Exclusões de M&amp;E'!AK6)</f>
        <v>0</v>
      </c>
      <c r="AK56" s="413" cm="1">
        <f t="array" ref="AK56">_xlfn.IFS('Painel de Controle'!$H$34="Pleito 3",'Exclusões de M&amp;E'!AL5,'Painel de Controle'!$H$34="Pleito 2",'Exclusões de M&amp;E'!AL4,'Painel de Controle'!$H$34="Pleito 8",'Exclusões de M&amp;E'!AL6)</f>
        <v>0</v>
      </c>
      <c r="AL56" s="413" cm="1">
        <f t="array" ref="AL56">_xlfn.IFS('Painel de Controle'!$H$34="Pleito 3",'Exclusões de M&amp;E'!AM5,'Painel de Controle'!$H$34="Pleito 2",'Exclusões de M&amp;E'!AM4,'Painel de Controle'!$H$34="Pleito 8",'Exclusões de M&amp;E'!AM6)</f>
        <v>0</v>
      </c>
      <c r="AM56" s="413" cm="1">
        <f t="array" ref="AM56">_xlfn.IFS('Painel de Controle'!$H$34="Pleito 3",'Exclusões de M&amp;E'!AN5,'Painel de Controle'!$H$34="Pleito 2",'Exclusões de M&amp;E'!AN4,'Painel de Controle'!$H$34="Pleito 8",'Exclusões de M&amp;E'!AN6)</f>
        <v>0</v>
      </c>
      <c r="AO56" s="118">
        <v>3.6499999999999998E-2</v>
      </c>
    </row>
    <row r="57" spans="2:41" s="15" customFormat="1" ht="18" customHeight="1">
      <c r="B57" s="246" t="s">
        <v>202</v>
      </c>
      <c r="C57" s="247" t="s">
        <v>148</v>
      </c>
      <c r="D57" s="59">
        <f t="shared" si="9"/>
        <v>4426.7719494926805</v>
      </c>
      <c r="E57" s="413">
        <f>IF('Painel de Controle'!$D$23="Pleito 2",'Exclusões de M&amp;E'!F45,IF('Painel de Controle'!$D$23="Pleito 3",'Exclusões de M&amp;E'!F46,IF('Painel de Controle'!$D$23="Pleito 6",'Exclusões de M&amp;E'!F47,'Exclusões de M&amp;E'!F48)))</f>
        <v>0</v>
      </c>
      <c r="F57" s="413">
        <f>IF('Painel de Controle'!$D$23="Pleito 2",'Exclusões de M&amp;E'!G45,IF('Painel de Controle'!$D$23="Pleito 3",'Exclusões de M&amp;E'!G46,IF('Painel de Controle'!$D$23="Pleito 6",'Exclusões de M&amp;E'!G47,'Exclusões de M&amp;E'!G48)))</f>
        <v>0</v>
      </c>
      <c r="G57" s="413">
        <f>IF('Painel de Controle'!$D$23="Pleito 2",'Exclusões de M&amp;E'!H45,IF('Painel de Controle'!$D$23="Pleito 3",'Exclusões de M&amp;E'!H46,IF('Painel de Controle'!$D$23="Pleito 6",'Exclusões de M&amp;E'!H47,'Exclusões de M&amp;E'!H48)))</f>
        <v>0</v>
      </c>
      <c r="H57" s="413">
        <f>IF('Painel de Controle'!$D$23="Pleito 2",'Exclusões de M&amp;E'!I45,IF('Painel de Controle'!$D$23="Pleito 3",'Exclusões de M&amp;E'!I46,IF('Painel de Controle'!$D$23="Pleito 6",'Exclusões de M&amp;E'!I47,'Exclusões de M&amp;E'!I48)))</f>
        <v>0</v>
      </c>
      <c r="I57" s="413">
        <f>IF('Painel de Controle'!$D$23="Pleito 2",'Exclusões de M&amp;E'!J45,IF('Painel de Controle'!$D$23="Pleito 3",'Exclusões de M&amp;E'!J46,IF('Painel de Controle'!$D$23="Pleito 6",'Exclusões de M&amp;E'!J47,'Exclusões de M&amp;E'!J48)))</f>
        <v>0</v>
      </c>
      <c r="J57" s="413">
        <f>IF('Painel de Controle'!$D$23="Pleito 2",'Exclusões de M&amp;E'!K45,IF('Painel de Controle'!$D$23="Pleito 3",'Exclusões de M&amp;E'!K46,IF('Painel de Controle'!$D$23="Pleito 6",'Exclusões de M&amp;E'!K47,'Exclusões de M&amp;E'!K48)))</f>
        <v>0</v>
      </c>
      <c r="K57" s="413">
        <f>IF('Painel de Controle'!$D$23="Pleito 2",'Exclusões de M&amp;E'!L45,IF('Painel de Controle'!$D$23="Pleito 3",'Exclusões de M&amp;E'!L46,IF('Painel de Controle'!$D$23="Pleito 6",'Exclusões de M&amp;E'!L47,'Exclusões de M&amp;E'!L48)))</f>
        <v>0</v>
      </c>
      <c r="L57" s="413">
        <f>IF('Painel de Controle'!$D$23="Pleito 2",'Exclusões de M&amp;E'!M45,IF('Painel de Controle'!$D$23="Pleito 3",'Exclusões de M&amp;E'!M46,IF('Painel de Controle'!$D$23="Pleito 6",'Exclusões de M&amp;E'!M47,'Exclusões de M&amp;E'!M48)))</f>
        <v>0</v>
      </c>
      <c r="M57" s="413">
        <f>IF('Painel de Controle'!$D$23="Pleito 2",'Exclusões de M&amp;E'!N45,IF('Painel de Controle'!$D$23="Pleito 3",'Exclusões de M&amp;E'!N46,IF('Painel de Controle'!$D$23="Pleito 6",'Exclusões de M&amp;E'!N47,'Exclusões de M&amp;E'!N48)))</f>
        <v>0</v>
      </c>
      <c r="N57" s="413">
        <f>IF('Painel de Controle'!$D$23="Pleito 2",'Exclusões de M&amp;E'!O45,IF('Painel de Controle'!$D$23="Pleito 3",'Exclusões de M&amp;E'!O46,IF('Painel de Controle'!$D$23="Pleito 6",'Exclusões de M&amp;E'!O47,'Exclusões de M&amp;E'!O48)))</f>
        <v>0</v>
      </c>
      <c r="O57" s="413">
        <f>IF('Painel de Controle'!$D$23="Pleito 2",'Exclusões de M&amp;E'!P45,IF('Painel de Controle'!$D$23="Pleito 3",'Exclusões de M&amp;E'!P46,IF('Painel de Controle'!$D$23="Pleito 6",'Exclusões de M&amp;E'!P47,'Exclusões de M&amp;E'!P48)))</f>
        <v>0</v>
      </c>
      <c r="P57" s="413">
        <f>IF('Painel de Controle'!$D$23="Pleito 2",'Exclusões de M&amp;E'!Q45,IF('Painel de Controle'!$D$23="Pleito 3",'Exclusões de M&amp;E'!Q46,IF('Painel de Controle'!$D$23="Pleito 6",'Exclusões de M&amp;E'!Q47,'Exclusões de M&amp;E'!Q48)))</f>
        <v>0</v>
      </c>
      <c r="Q57" s="413">
        <f>IF('Painel de Controle'!$D$23="Pleito 2",'Exclusões de M&amp;E'!R45,IF('Painel de Controle'!$D$23="Pleito 3",'Exclusões de M&amp;E'!R46,IF('Painel de Controle'!$D$23="Pleito 6",'Exclusões de M&amp;E'!R47,'Exclusões de M&amp;E'!R48)))</f>
        <v>0</v>
      </c>
      <c r="R57" s="413">
        <f>IF('Painel de Controle'!$D$23="Pleito 2",'Exclusões de M&amp;E'!S45,IF('Painel de Controle'!$D$23="Pleito 3",'Exclusões de M&amp;E'!S46,IF('Painel de Controle'!$D$23="Pleito 6",'Exclusões de M&amp;E'!S47,'Exclusões de M&amp;E'!S48)))</f>
        <v>0</v>
      </c>
      <c r="S57" s="413">
        <f>IF('Painel de Controle'!$D$23="Pleito 2",'Exclusões de M&amp;E'!T45,IF('Painel de Controle'!$D$23="Pleito 3",'Exclusões de M&amp;E'!T46,IF('Painel de Controle'!$D$23="Pleito 6",'Exclusões de M&amp;E'!T47,'Exclusões de M&amp;E'!T48)))</f>
        <v>0</v>
      </c>
      <c r="T57" s="413">
        <f>IF('Painel de Controle'!$D$23="Pleito 2",'Exclusões de M&amp;E'!U45,IF('Painel de Controle'!$D$23="Pleito 3",'Exclusões de M&amp;E'!U46,IF('Painel de Controle'!$D$23="Pleito 6",'Exclusões de M&amp;E'!U47,'Exclusões de M&amp;E'!U48)))</f>
        <v>0</v>
      </c>
      <c r="U57" s="413">
        <f>IF('Painel de Controle'!$D$23="Pleito 2",'Exclusões de M&amp;E'!V45,IF('Painel de Controle'!$D$23="Pleito 3",'Exclusões de M&amp;E'!V46,IF('Painel de Controle'!$D$23="Pleito 6",'Exclusões de M&amp;E'!V47,'Exclusões de M&amp;E'!V48)))</f>
        <v>1439.2423733208</v>
      </c>
      <c r="V57" s="413">
        <f>IF('Painel de Controle'!$D$23="Pleito 2",'Exclusões de M&amp;E'!W45,IF('Painel de Controle'!$D$23="Pleito 3",'Exclusões de M&amp;E'!W46,IF('Painel de Controle'!$D$23="Pleito 6",'Exclusões de M&amp;E'!W47,'Exclusões de M&amp;E'!W48)))</f>
        <v>0</v>
      </c>
      <c r="W57" s="413">
        <f>IF('Painel de Controle'!$D$23="Pleito 2",'Exclusões de M&amp;E'!X45,IF('Painel de Controle'!$D$23="Pleito 3",'Exclusões de M&amp;E'!X46,IF('Painel de Controle'!$D$23="Pleito 6",'Exclusões de M&amp;E'!X47,'Exclusões de M&amp;E'!X48)))</f>
        <v>0</v>
      </c>
      <c r="X57" s="413">
        <f>IF('Painel de Controle'!$D$23="Pleito 2",'Exclusões de M&amp;E'!Y45,IF('Painel de Controle'!$D$23="Pleito 3",'Exclusões de M&amp;E'!Y46,IF('Painel de Controle'!$D$23="Pleito 6",'Exclusões de M&amp;E'!Y47,'Exclusões de M&amp;E'!Y48)))</f>
        <v>0</v>
      </c>
      <c r="Y57" s="413">
        <f>IF('Painel de Controle'!$D$23="Pleito 2",'Exclusões de M&amp;E'!Z45,IF('Painel de Controle'!$D$23="Pleito 3",'Exclusões de M&amp;E'!Z46,IF('Painel de Controle'!$D$23="Pleito 6",'Exclusões de M&amp;E'!Z47,'Exclusões de M&amp;E'!Z48)))</f>
        <v>0</v>
      </c>
      <c r="Z57" s="413">
        <f>IF('Painel de Controle'!$D$23="Pleito 2",'Exclusões de M&amp;E'!AA45,IF('Painel de Controle'!$D$23="Pleito 3",'Exclusões de M&amp;E'!AA46,IF('Painel de Controle'!$D$23="Pleito 6",'Exclusões de M&amp;E'!AA47,'Exclusões de M&amp;E'!AA48)))</f>
        <v>0</v>
      </c>
      <c r="AA57" s="413">
        <f>IF('Painel de Controle'!$D$23="Pleito 2",'Exclusões de M&amp;E'!AB45,IF('Painel de Controle'!$D$23="Pleito 3",'Exclusões de M&amp;E'!AB46,IF('Painel de Controle'!$D$23="Pleito 6",'Exclusões de M&amp;E'!AB47,'Exclusões de M&amp;E'!AB48)))</f>
        <v>0</v>
      </c>
      <c r="AB57" s="413">
        <f>IF('Painel de Controle'!$D$23="Pleito 2",'Exclusões de M&amp;E'!AC45,IF('Painel de Controle'!$D$23="Pleito 3",'Exclusões de M&amp;E'!AC46,IF('Painel de Controle'!$D$23="Pleito 6",'Exclusões de M&amp;E'!AC47,'Exclusões de M&amp;E'!AC48)))</f>
        <v>1493.7647880859399</v>
      </c>
      <c r="AC57" s="413">
        <f>IF('Painel de Controle'!$D$23="Pleito 2",'Exclusões de M&amp;E'!AD45,IF('Painel de Controle'!$D$23="Pleito 3",'Exclusões de M&amp;E'!AD46,IF('Painel de Controle'!$D$23="Pleito 6",'Exclusões de M&amp;E'!AD47,'Exclusões de M&amp;E'!AD48)))</f>
        <v>0</v>
      </c>
      <c r="AD57" s="413">
        <f>IF('Painel de Controle'!$D$23="Pleito 2",'Exclusões de M&amp;E'!AE45,IF('Painel de Controle'!$D$23="Pleito 3",'Exclusões de M&amp;E'!AE46,IF('Painel de Controle'!$D$23="Pleito 6",'Exclusões de M&amp;E'!AE47,'Exclusões de M&amp;E'!AE48)))</f>
        <v>0</v>
      </c>
      <c r="AE57" s="413">
        <f>IF('Painel de Controle'!$D$23="Pleito 2",'Exclusões de M&amp;E'!AF45,IF('Painel de Controle'!$D$23="Pleito 3",'Exclusões de M&amp;E'!AF46,IF('Painel de Controle'!$D$23="Pleito 6",'Exclusões de M&amp;E'!AF47,'Exclusões de M&amp;E'!AF48)))</f>
        <v>0</v>
      </c>
      <c r="AF57" s="413">
        <f>IF('Painel de Controle'!$D$23="Pleito 2",'Exclusões de M&amp;E'!AG45,IF('Painel de Controle'!$D$23="Pleito 3",'Exclusões de M&amp;E'!AG46,IF('Painel de Controle'!$D$23="Pleito 6",'Exclusões de M&amp;E'!AG47,'Exclusões de M&amp;E'!AG48)))</f>
        <v>0</v>
      </c>
      <c r="AG57" s="413">
        <f>IF('Painel de Controle'!$D$23="Pleito 2",'Exclusões de M&amp;E'!AH45,IF('Painel de Controle'!$D$23="Pleito 3",'Exclusões de M&amp;E'!AH46,IF('Painel de Controle'!$D$23="Pleito 6",'Exclusões de M&amp;E'!AH47,'Exclusões de M&amp;E'!AH48)))</f>
        <v>0</v>
      </c>
      <c r="AH57" s="413">
        <f>IF('Painel de Controle'!$D$23="Pleito 2",'Exclusões de M&amp;E'!AI45,IF('Painel de Controle'!$D$23="Pleito 3",'Exclusões de M&amp;E'!AI46,IF('Painel de Controle'!$D$23="Pleito 6",'Exclusões de M&amp;E'!AI47,'Exclusões de M&amp;E'!AI48)))</f>
        <v>0</v>
      </c>
      <c r="AI57" s="413">
        <f>IF('Painel de Controle'!$D$23="Pleito 2",'Exclusões de M&amp;E'!AJ45,IF('Painel de Controle'!$D$23="Pleito 3",'Exclusões de M&amp;E'!AJ46,IF('Painel de Controle'!$D$23="Pleito 6",'Exclusões de M&amp;E'!AJ47,'Exclusões de M&amp;E'!AJ48)))</f>
        <v>1493.7647880859399</v>
      </c>
      <c r="AJ57" s="413">
        <f>IF('Painel de Controle'!$D$23="Pleito 2",'Exclusões de M&amp;E'!AK45,IF('Painel de Controle'!$D$23="Pleito 3",'Exclusões de M&amp;E'!AK46,IF('Painel de Controle'!$D$23="Pleito 6",'Exclusões de M&amp;E'!AK47,'Exclusões de M&amp;E'!AK48)))</f>
        <v>0</v>
      </c>
      <c r="AK57" s="413">
        <f>IF('Painel de Controle'!$D$23="Pleito 2",'Exclusões de M&amp;E'!AL45,IF('Painel de Controle'!$D$23="Pleito 3",'Exclusões de M&amp;E'!AL46,IF('Painel de Controle'!$D$23="Pleito 6",'Exclusões de M&amp;E'!AL47,'Exclusões de M&amp;E'!AL48)))</f>
        <v>0</v>
      </c>
      <c r="AL57" s="413">
        <f>IF('Painel de Controle'!$D$23="Pleito 2",'Exclusões de M&amp;E'!AM45,IF('Painel de Controle'!$D$23="Pleito 3",'Exclusões de M&amp;E'!AM46,IF('Painel de Controle'!$D$23="Pleito 6",'Exclusões de M&amp;E'!AM47,'Exclusões de M&amp;E'!AM48)))</f>
        <v>0</v>
      </c>
      <c r="AM57" s="413">
        <f>IF('Painel de Controle'!$D$23="Pleito 2",'Exclusões de M&amp;E'!AN45,IF('Painel de Controle'!$D$23="Pleito 3",'Exclusões de M&amp;E'!AN46,IF('Painel de Controle'!$D$23="Pleito 6",'Exclusões de M&amp;E'!AN47,'Exclusões de M&amp;E'!AN48)))</f>
        <v>0</v>
      </c>
      <c r="AO57" s="174">
        <v>3.6499999999999998E-2</v>
      </c>
    </row>
    <row r="58" spans="2:41" s="98" customFormat="1" ht="18" customHeight="1">
      <c r="B58" s="246" t="s">
        <v>203</v>
      </c>
      <c r="C58" s="247" t="s">
        <v>149</v>
      </c>
      <c r="D58" s="59">
        <f t="shared" si="9"/>
        <v>0</v>
      </c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  <c r="S58" s="59"/>
      <c r="T58" s="59"/>
      <c r="U58" s="59"/>
      <c r="V58" s="59"/>
      <c r="W58" s="59"/>
      <c r="X58" s="59"/>
      <c r="Y58" s="59"/>
      <c r="Z58" s="59"/>
      <c r="AA58" s="59"/>
      <c r="AB58" s="59"/>
      <c r="AC58" s="59"/>
      <c r="AD58" s="59"/>
      <c r="AE58" s="59"/>
      <c r="AF58" s="59"/>
      <c r="AG58" s="59"/>
      <c r="AH58" s="59"/>
      <c r="AI58" s="59"/>
      <c r="AJ58" s="59"/>
      <c r="AK58" s="59"/>
      <c r="AL58" s="59"/>
      <c r="AM58" s="59"/>
      <c r="AO58" s="118">
        <v>3.6499999999999998E-2</v>
      </c>
    </row>
    <row r="59" spans="2:41" s="15" customFormat="1" ht="18" customHeight="1">
      <c r="B59" s="246" t="s">
        <v>207</v>
      </c>
      <c r="C59" s="247" t="s">
        <v>184</v>
      </c>
      <c r="D59" s="59">
        <f t="shared" si="9"/>
        <v>8367.7000197246107</v>
      </c>
      <c r="E59" s="59">
        <v>1677.8936459947267</v>
      </c>
      <c r="F59" s="59">
        <v>719.09727685488292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2487.79545703125</v>
      </c>
      <c r="S59" s="59">
        <v>0</v>
      </c>
      <c r="T59" s="59">
        <v>0</v>
      </c>
      <c r="U59" s="59">
        <v>0</v>
      </c>
      <c r="V59" s="59">
        <v>0</v>
      </c>
      <c r="W59" s="59">
        <v>0</v>
      </c>
      <c r="X59" s="59">
        <v>0</v>
      </c>
      <c r="Y59" s="59">
        <v>0</v>
      </c>
      <c r="Z59" s="59">
        <v>0</v>
      </c>
      <c r="AA59" s="59">
        <v>0</v>
      </c>
      <c r="AB59" s="59">
        <v>2487.79545703125</v>
      </c>
      <c r="AC59" s="59">
        <v>0</v>
      </c>
      <c r="AD59" s="59">
        <v>0</v>
      </c>
      <c r="AE59" s="59">
        <v>0</v>
      </c>
      <c r="AF59" s="59">
        <v>0</v>
      </c>
      <c r="AG59" s="59">
        <v>0</v>
      </c>
      <c r="AH59" s="59">
        <v>0</v>
      </c>
      <c r="AI59" s="59">
        <v>0</v>
      </c>
      <c r="AJ59" s="59">
        <v>0</v>
      </c>
      <c r="AK59" s="59">
        <v>0</v>
      </c>
      <c r="AL59" s="59">
        <v>995.11818281250009</v>
      </c>
      <c r="AM59" s="59">
        <v>0</v>
      </c>
      <c r="AO59" s="118">
        <v>3.6499999999999998E-2</v>
      </c>
    </row>
    <row r="60" spans="2:41" s="15" customFormat="1" ht="18" customHeight="1">
      <c r="B60" s="246" t="s">
        <v>208</v>
      </c>
      <c r="C60" s="247" t="s">
        <v>150</v>
      </c>
      <c r="D60" s="59">
        <f t="shared" si="9"/>
        <v>6451.5219319978005</v>
      </c>
      <c r="E60" s="413">
        <f>IF('Painel de Controle'!$H$31="Pleito 3",'Exclusões de M&amp;E'!F26,IF('Painel de Controle'!$H$31="Pleito 6",'Exclusões de M&amp;E'!F27,'Exclusões de M&amp;E'!F25))</f>
        <v>783.15388032617</v>
      </c>
      <c r="F60" s="413">
        <f>IF('Painel de Controle'!$H$31="Pleito 3",'Exclusões de M&amp;E'!G26,IF('Painel de Controle'!$H$31="Pleito 6",'Exclusões de M&amp;E'!G27,'Exclusões de M&amp;E'!G25))</f>
        <v>674.72005167163002</v>
      </c>
      <c r="G60" s="413">
        <f>IF('Painel de Controle'!$H$31="Pleito 3",'Exclusões de M&amp;E'!H26,IF('Painel de Controle'!$H$31="Pleito 6",'Exclusões de M&amp;E'!H27,'Exclusões de M&amp;E'!H25))</f>
        <v>0</v>
      </c>
      <c r="H60" s="413">
        <f>IF('Painel de Controle'!$H$31="Pleito 3",'Exclusões de M&amp;E'!I26,IF('Painel de Controle'!$H$31="Pleito 6",'Exclusões de M&amp;E'!I27,'Exclusões de M&amp;E'!I25))</f>
        <v>0</v>
      </c>
      <c r="I60" s="413">
        <f>IF('Painel de Controle'!$H$31="Pleito 3",'Exclusões de M&amp;E'!J26,IF('Painel de Controle'!$H$31="Pleito 6",'Exclusões de M&amp;E'!J27,'Exclusões de M&amp;E'!J25))</f>
        <v>0</v>
      </c>
      <c r="J60" s="413">
        <f>IF('Painel de Controle'!$H$31="Pleito 3",'Exclusões de M&amp;E'!K26,IF('Painel de Controle'!$H$31="Pleito 6",'Exclusões de M&amp;E'!K27,'Exclusões de M&amp;E'!K25))</f>
        <v>0</v>
      </c>
      <c r="K60" s="413">
        <f>IF('Painel de Controle'!$H$31="Pleito 3",'Exclusões de M&amp;E'!L26,IF('Painel de Controle'!$H$31="Pleito 6",'Exclusões de M&amp;E'!L27,'Exclusões de M&amp;E'!L25))</f>
        <v>0</v>
      </c>
      <c r="L60" s="413">
        <f>IF('Painel de Controle'!$H$31="Pleito 3",'Exclusões de M&amp;E'!M26,IF('Painel de Controle'!$H$31="Pleito 6",'Exclusões de M&amp;E'!M27,'Exclusões de M&amp;E'!M25))</f>
        <v>0</v>
      </c>
      <c r="M60" s="413">
        <f>IF('Painel de Controle'!$H$31="Pleito 3",'Exclusões de M&amp;E'!N26,IF('Painel de Controle'!$H$31="Pleito 6",'Exclusões de M&amp;E'!N27,'Exclusões de M&amp;E'!N25))</f>
        <v>0</v>
      </c>
      <c r="N60" s="413">
        <f>IF('Painel de Controle'!$H$31="Pleito 3",'Exclusões de M&amp;E'!O26,IF('Painel de Controle'!$H$31="Pleito 6",'Exclusões de M&amp;E'!O27,'Exclusões de M&amp;E'!O25))</f>
        <v>0</v>
      </c>
      <c r="O60" s="413">
        <f>IF('Painel de Controle'!$H$31="Pleito 3",'Exclusões de M&amp;E'!P26,IF('Painel de Controle'!$H$31="Pleito 6",'Exclusões de M&amp;E'!P27,'Exclusões de M&amp;E'!P25))</f>
        <v>0</v>
      </c>
      <c r="P60" s="413">
        <f>IF('Painel de Controle'!$H$31="Pleito 3",'Exclusões de M&amp;E'!Q26,IF('Painel de Controle'!$H$31="Pleito 6",'Exclusões de M&amp;E'!Q27,'Exclusões de M&amp;E'!Q25))</f>
        <v>0</v>
      </c>
      <c r="Q60" s="413">
        <f>IF('Painel de Controle'!$H$31="Pleito 3",'Exclusões de M&amp;E'!R26,IF('Painel de Controle'!$H$31="Pleito 6",'Exclusões de M&amp;E'!R27,'Exclusões de M&amp;E'!R25))</f>
        <v>0</v>
      </c>
      <c r="R60" s="413">
        <f>IF('Painel de Controle'!$H$31="Pleito 3",'Exclusões de M&amp;E'!S26,IF('Painel de Controle'!$H$31="Pleito 6",'Exclusões de M&amp;E'!S27,'Exclusões de M&amp;E'!S25))</f>
        <v>1533.8240000000001</v>
      </c>
      <c r="S60" s="413">
        <f>IF('Painel de Controle'!$H$31="Pleito 3",'Exclusões de M&amp;E'!T26,IF('Painel de Controle'!$H$31="Pleito 6",'Exclusões de M&amp;E'!T27,'Exclusões de M&amp;E'!T25))</f>
        <v>547</v>
      </c>
      <c r="T60" s="413">
        <f>IF('Painel de Controle'!$H$31="Pleito 3",'Exclusões de M&amp;E'!U26,IF('Painel de Controle'!$H$31="Pleito 6",'Exclusões de M&amp;E'!U27,'Exclusões de M&amp;E'!U25))</f>
        <v>0</v>
      </c>
      <c r="U60" s="413">
        <f>IF('Painel de Controle'!$H$31="Pleito 3",'Exclusões de M&amp;E'!V26,IF('Painel de Controle'!$H$31="Pleito 6",'Exclusões de M&amp;E'!V27,'Exclusões de M&amp;E'!V25))</f>
        <v>0</v>
      </c>
      <c r="V60" s="413">
        <f>IF('Painel de Controle'!$H$31="Pleito 3",'Exclusões de M&amp;E'!W26,IF('Painel de Controle'!$H$31="Pleito 6",'Exclusões de M&amp;E'!W27,'Exclusões de M&amp;E'!W25))</f>
        <v>0</v>
      </c>
      <c r="W60" s="413">
        <f>IF('Painel de Controle'!$H$31="Pleito 3",'Exclusões de M&amp;E'!X26,IF('Painel de Controle'!$H$31="Pleito 6",'Exclusões de M&amp;E'!X27,'Exclusões de M&amp;E'!X25))</f>
        <v>0</v>
      </c>
      <c r="X60" s="413">
        <f>IF('Painel de Controle'!$H$31="Pleito 3",'Exclusões de M&amp;E'!Y26,IF('Painel de Controle'!$H$31="Pleito 6",'Exclusões de M&amp;E'!Y27,'Exclusões de M&amp;E'!Y25))</f>
        <v>0</v>
      </c>
      <c r="Y60" s="413">
        <f>IF('Painel de Controle'!$H$31="Pleito 3",'Exclusões de M&amp;E'!Z26,IF('Painel de Controle'!$H$31="Pleito 6",'Exclusões de M&amp;E'!Z27,'Exclusões de M&amp;E'!Z25))</f>
        <v>0</v>
      </c>
      <c r="Z60" s="413">
        <f>IF('Painel de Controle'!$H$31="Pleito 3",'Exclusões de M&amp;E'!AA26,IF('Painel de Controle'!$H$31="Pleito 6",'Exclusões de M&amp;E'!AA27,'Exclusões de M&amp;E'!AA25))</f>
        <v>0</v>
      </c>
      <c r="AA60" s="413">
        <f>IF('Painel de Controle'!$H$31="Pleito 3",'Exclusões de M&amp;E'!AB26,IF('Painel de Controle'!$H$31="Pleito 6",'Exclusões de M&amp;E'!AB27,'Exclusões de M&amp;E'!AB25))</f>
        <v>0</v>
      </c>
      <c r="AB60" s="413">
        <f>IF('Painel de Controle'!$H$31="Pleito 3",'Exclusões de M&amp;E'!AC26,IF('Painel de Controle'!$H$31="Pleito 6",'Exclusões de M&amp;E'!AC27,'Exclusões de M&amp;E'!AC25))</f>
        <v>2080.8240000000001</v>
      </c>
      <c r="AC60" s="413">
        <f>IF('Painel de Controle'!$H$31="Pleito 3",'Exclusões de M&amp;E'!AD26,IF('Painel de Controle'!$H$31="Pleito 6",'Exclusões de M&amp;E'!AD27,'Exclusões de M&amp;E'!AD25))</f>
        <v>0</v>
      </c>
      <c r="AD60" s="413">
        <f>IF('Painel de Controle'!$H$31="Pleito 3",'Exclusões de M&amp;E'!AE26,IF('Painel de Controle'!$H$31="Pleito 6",'Exclusões de M&amp;E'!AE27,'Exclusões de M&amp;E'!AE25))</f>
        <v>0</v>
      </c>
      <c r="AE60" s="413">
        <f>IF('Painel de Controle'!$H$31="Pleito 3",'Exclusões de M&amp;E'!AF26,IF('Painel de Controle'!$H$31="Pleito 6",'Exclusões de M&amp;E'!AF27,'Exclusões de M&amp;E'!AF25))</f>
        <v>0</v>
      </c>
      <c r="AF60" s="413">
        <f>IF('Painel de Controle'!$H$31="Pleito 3",'Exclusões de M&amp;E'!AG26,IF('Painel de Controle'!$H$31="Pleito 6",'Exclusões de M&amp;E'!AG27,'Exclusões de M&amp;E'!AG25))</f>
        <v>0</v>
      </c>
      <c r="AG60" s="413">
        <f>IF('Painel de Controle'!$H$31="Pleito 3",'Exclusões de M&amp;E'!AH26,IF('Painel de Controle'!$H$31="Pleito 6",'Exclusões de M&amp;E'!AH27,'Exclusões de M&amp;E'!AH25))</f>
        <v>0</v>
      </c>
      <c r="AH60" s="413">
        <f>IF('Painel de Controle'!$H$31="Pleito 3",'Exclusões de M&amp;E'!AI26,IF('Painel de Controle'!$H$31="Pleito 6",'Exclusões de M&amp;E'!AI27,'Exclusões de M&amp;E'!AI25))</f>
        <v>0</v>
      </c>
      <c r="AI60" s="413">
        <f>IF('Painel de Controle'!$H$31="Pleito 3",'Exclusões de M&amp;E'!AJ26,IF('Painel de Controle'!$H$31="Pleito 6",'Exclusões de M&amp;E'!AJ27,'Exclusões de M&amp;E'!AJ25))</f>
        <v>0</v>
      </c>
      <c r="AJ60" s="413">
        <f>IF('Painel de Controle'!$H$31="Pleito 3",'Exclusões de M&amp;E'!AK26,IF('Painel de Controle'!$H$31="Pleito 6",'Exclusões de M&amp;E'!AK27,'Exclusões de M&amp;E'!AK25))</f>
        <v>0</v>
      </c>
      <c r="AK60" s="413">
        <f>IF('Painel de Controle'!$H$31="Pleito 3",'Exclusões de M&amp;E'!AL26,IF('Painel de Controle'!$H$31="Pleito 6",'Exclusões de M&amp;E'!AL27,'Exclusões de M&amp;E'!AL25))</f>
        <v>0</v>
      </c>
      <c r="AL60" s="413">
        <f>IF('Painel de Controle'!$H$31="Pleito 3",'Exclusões de M&amp;E'!AM26,IF('Painel de Controle'!$H$31="Pleito 6",'Exclusões de M&amp;E'!AM27,'Exclusões de M&amp;E'!AM25))</f>
        <v>832</v>
      </c>
      <c r="AM60" s="413">
        <f>IF('Painel de Controle'!$H$31="Pleito 3",'Exclusões de M&amp;E'!AN26,IF('Painel de Controle'!$H$31="Pleito 6",'Exclusões de M&amp;E'!AN27,'Exclusões de M&amp;E'!AN25))</f>
        <v>0</v>
      </c>
      <c r="AN60" s="288"/>
      <c r="AO60" s="118">
        <v>3.6499999999999998E-2</v>
      </c>
    </row>
    <row r="61" spans="2:41" s="15" customFormat="1" ht="18" customHeight="1">
      <c r="B61" s="246" t="s">
        <v>209</v>
      </c>
      <c r="C61" s="247" t="s">
        <v>151</v>
      </c>
      <c r="D61" s="59">
        <f t="shared" si="9"/>
        <v>3050.8925480000003</v>
      </c>
      <c r="E61" s="413">
        <f>IF('Painel de Controle'!$H$37="Pleito 3",'Exclusões de M&amp;E'!F15,'Exclusões de M&amp;E'!F14)</f>
        <v>0</v>
      </c>
      <c r="F61" s="413">
        <f>IF('Painel de Controle'!$H$37="Pleito 3",'Exclusões de M&amp;E'!G15,'Exclusões de M&amp;E'!G14)</f>
        <v>0</v>
      </c>
      <c r="G61" s="413">
        <f>IF('Painel de Controle'!$H$37="Pleito 3",'Exclusões de M&amp;E'!H15,'Exclusões de M&amp;E'!H14)</f>
        <v>0</v>
      </c>
      <c r="H61" s="413">
        <f>IF('Painel de Controle'!$H$37="Pleito 3",'Exclusões de M&amp;E'!I15,'Exclusões de M&amp;E'!I14)</f>
        <v>0</v>
      </c>
      <c r="I61" s="413">
        <f>IF('Painel de Controle'!$H$37="Pleito 3",'Exclusões de M&amp;E'!J15,'Exclusões de M&amp;E'!J14)</f>
        <v>0</v>
      </c>
      <c r="J61" s="413">
        <f>IF('Painel de Controle'!$H$37="Pleito 3",'Exclusões de M&amp;E'!K15,'Exclusões de M&amp;E'!K14)</f>
        <v>273.102148</v>
      </c>
      <c r="K61" s="413">
        <f>IF('Painel de Controle'!$H$37="Pleito 3",'Exclusões de M&amp;E'!L15,'Exclusões de M&amp;E'!L14)</f>
        <v>0</v>
      </c>
      <c r="L61" s="413">
        <f>IF('Painel de Controle'!$H$37="Pleito 3",'Exclusões de M&amp;E'!M15,'Exclusões de M&amp;E'!M14)</f>
        <v>0</v>
      </c>
      <c r="M61" s="413">
        <f>IF('Painel de Controle'!$H$37="Pleito 3",'Exclusões de M&amp;E'!N15,'Exclusões de M&amp;E'!N14)</f>
        <v>0</v>
      </c>
      <c r="N61" s="413">
        <f>IF('Painel de Controle'!$H$37="Pleito 3",'Exclusões de M&amp;E'!O15,'Exclusões de M&amp;E'!O14)</f>
        <v>0</v>
      </c>
      <c r="O61" s="413">
        <f>IF('Painel de Controle'!$H$37="Pleito 3",'Exclusões de M&amp;E'!P15,'Exclusões de M&amp;E'!P14)</f>
        <v>283.44799999999998</v>
      </c>
      <c r="P61" s="413">
        <f>IF('Painel de Controle'!$H$37="Pleito 3",'Exclusões de M&amp;E'!Q15,'Exclusões de M&amp;E'!Q14)</f>
        <v>0</v>
      </c>
      <c r="Q61" s="413">
        <f>IF('Painel de Controle'!$H$37="Pleito 3",'Exclusões de M&amp;E'!R15,'Exclusões de M&amp;E'!R14)</f>
        <v>0</v>
      </c>
      <c r="R61" s="413">
        <f>IF('Painel de Controle'!$H$37="Pleito 3",'Exclusões de M&amp;E'!S15,'Exclusões de M&amp;E'!S14)</f>
        <v>0</v>
      </c>
      <c r="S61" s="413">
        <f>IF('Painel de Controle'!$H$37="Pleito 3",'Exclusões de M&amp;E'!T15,'Exclusões de M&amp;E'!T14)</f>
        <v>0</v>
      </c>
      <c r="T61" s="413">
        <f>IF('Painel de Controle'!$H$37="Pleito 3",'Exclusões de M&amp;E'!U15,'Exclusões de M&amp;E'!U14)</f>
        <v>566.89599999999996</v>
      </c>
      <c r="U61" s="413">
        <f>IF('Painel de Controle'!$H$37="Pleito 3",'Exclusões de M&amp;E'!V15,'Exclusões de M&amp;E'!V14)</f>
        <v>0</v>
      </c>
      <c r="V61" s="413">
        <f>IF('Painel de Controle'!$H$37="Pleito 3",'Exclusões de M&amp;E'!W15,'Exclusões de M&amp;E'!W14)</f>
        <v>0</v>
      </c>
      <c r="W61" s="413">
        <f>IF('Painel de Controle'!$H$37="Pleito 3",'Exclusões de M&amp;E'!X15,'Exclusões de M&amp;E'!X14)</f>
        <v>0</v>
      </c>
      <c r="X61" s="413">
        <f>IF('Painel de Controle'!$H$37="Pleito 3",'Exclusões de M&amp;E'!Y15,'Exclusões de M&amp;E'!Y14)</f>
        <v>0</v>
      </c>
      <c r="Y61" s="413">
        <f>IF('Painel de Controle'!$H$37="Pleito 3",'Exclusões de M&amp;E'!Z15,'Exclusões de M&amp;E'!Z14)</f>
        <v>566.89599999999996</v>
      </c>
      <c r="Z61" s="413">
        <f>IF('Painel de Controle'!$H$37="Pleito 3",'Exclusões de M&amp;E'!AA15,'Exclusões de M&amp;E'!AA14)</f>
        <v>0</v>
      </c>
      <c r="AA61" s="413">
        <f>IF('Painel de Controle'!$H$37="Pleito 3",'Exclusões de M&amp;E'!AB15,'Exclusões de M&amp;E'!AB14)</f>
        <v>0</v>
      </c>
      <c r="AB61" s="413">
        <f>IF('Painel de Controle'!$H$37="Pleito 3",'Exclusões de M&amp;E'!AC15,'Exclusões de M&amp;E'!AC14)</f>
        <v>0</v>
      </c>
      <c r="AC61" s="413">
        <f>IF('Painel de Controle'!$H$37="Pleito 3",'Exclusões de M&amp;E'!AD15,'Exclusões de M&amp;E'!AD14)</f>
        <v>0</v>
      </c>
      <c r="AD61" s="413">
        <f>IF('Painel de Controle'!$H$37="Pleito 3",'Exclusões de M&amp;E'!AE15,'Exclusões de M&amp;E'!AE14)</f>
        <v>566.89599999999996</v>
      </c>
      <c r="AE61" s="413">
        <f>IF('Painel de Controle'!$H$37="Pleito 3",'Exclusões de M&amp;E'!AF15,'Exclusões de M&amp;E'!AF14)</f>
        <v>0</v>
      </c>
      <c r="AF61" s="413">
        <f>IF('Painel de Controle'!$H$37="Pleito 3",'Exclusões de M&amp;E'!AG15,'Exclusões de M&amp;E'!AG14)</f>
        <v>0</v>
      </c>
      <c r="AG61" s="413">
        <f>IF('Painel de Controle'!$H$37="Pleito 3",'Exclusões de M&amp;E'!AH15,'Exclusões de M&amp;E'!AH14)</f>
        <v>0</v>
      </c>
      <c r="AH61" s="413">
        <f>IF('Painel de Controle'!$H$37="Pleito 3",'Exclusões de M&amp;E'!AI15,'Exclusões de M&amp;E'!AI14)</f>
        <v>0</v>
      </c>
      <c r="AI61" s="413">
        <f>IF('Painel de Controle'!$H$37="Pleito 3",'Exclusões de M&amp;E'!AJ15,'Exclusões de M&amp;E'!AJ14)</f>
        <v>566.89599999999996</v>
      </c>
      <c r="AJ61" s="413">
        <f>IF('Painel de Controle'!$H$37="Pleito 3",'Exclusões de M&amp;E'!AK15,'Exclusões de M&amp;E'!AK14)</f>
        <v>0</v>
      </c>
      <c r="AK61" s="413">
        <f>IF('Painel de Controle'!$H$37="Pleito 3",'Exclusões de M&amp;E'!AL15,'Exclusões de M&amp;E'!AL14)</f>
        <v>0</v>
      </c>
      <c r="AL61" s="413">
        <f>IF('Painel de Controle'!$H$37="Pleito 3",'Exclusões de M&amp;E'!AM15,'Exclusões de M&amp;E'!AM14)</f>
        <v>226.75839999999999</v>
      </c>
      <c r="AM61" s="413">
        <f>IF('Painel de Controle'!$H$37="Pleito 3",'Exclusões de M&amp;E'!AN15,'Exclusões de M&amp;E'!AN14)</f>
        <v>0</v>
      </c>
      <c r="AN61" s="286"/>
      <c r="AO61" s="118">
        <v>3.6499999999999998E-2</v>
      </c>
    </row>
    <row r="62" spans="2:41" s="15" customFormat="1" ht="18" customHeight="1">
      <c r="B62" s="246" t="s">
        <v>210</v>
      </c>
      <c r="C62" s="247" t="s">
        <v>152</v>
      </c>
      <c r="D62" s="59">
        <f t="shared" si="9"/>
        <v>220.1812965</v>
      </c>
      <c r="E62" s="413">
        <f>IF('Painel de Controle'!$H$25="Pleito 3",'Exclusões de M&amp;E'!F9,'Exclusões de M&amp;E'!F8)</f>
        <v>0</v>
      </c>
      <c r="F62" s="413">
        <f>IF('Painel de Controle'!$H$25="Pleito 3",'Exclusões de M&amp;E'!G9,'Exclusões de M&amp;E'!G8)</f>
        <v>0</v>
      </c>
      <c r="G62" s="413">
        <f>IF('Painel de Controle'!$H$25="Pleito 3",'Exclusões de M&amp;E'!H9,'Exclusões de M&amp;E'!H8)</f>
        <v>0</v>
      </c>
      <c r="H62" s="413">
        <f>IF('Painel de Controle'!$H$25="Pleito 3",'Exclusões de M&amp;E'!I9,'Exclusões de M&amp;E'!I8)</f>
        <v>0</v>
      </c>
      <c r="I62" s="413">
        <f>IF('Painel de Controle'!$H$25="Pleito 3",'Exclusões de M&amp;E'!J9,'Exclusões de M&amp;E'!J8)</f>
        <v>0</v>
      </c>
      <c r="J62" s="413">
        <f>IF('Painel de Controle'!$H$25="Pleito 3",'Exclusões de M&amp;E'!K9,'Exclusões de M&amp;E'!K8)</f>
        <v>0</v>
      </c>
      <c r="K62" s="413">
        <f>IF('Painel de Controle'!$H$25="Pleito 3",'Exclusões de M&amp;E'!L9,'Exclusões de M&amp;E'!L8)</f>
        <v>0</v>
      </c>
      <c r="L62" s="413">
        <f>IF('Painel de Controle'!$H$25="Pleito 3",'Exclusões de M&amp;E'!M9,'Exclusões de M&amp;E'!M8)</f>
        <v>0</v>
      </c>
      <c r="M62" s="413">
        <f>IF('Painel de Controle'!$H$25="Pleito 3",'Exclusões de M&amp;E'!N9,'Exclusões de M&amp;E'!N8)</f>
        <v>0</v>
      </c>
      <c r="N62" s="413">
        <f>IF('Painel de Controle'!$H$25="Pleito 3",'Exclusões de M&amp;E'!O9,'Exclusões de M&amp;E'!O8)</f>
        <v>0</v>
      </c>
      <c r="O62" s="413">
        <f>IF('Painel de Controle'!$H$25="Pleito 3",'Exclusões de M&amp;E'!P9,'Exclusões de M&amp;E'!P8)</f>
        <v>0</v>
      </c>
      <c r="P62" s="413">
        <f>IF('Painel de Controle'!$H$25="Pleito 3",'Exclusões de M&amp;E'!Q9,'Exclusões de M&amp;E'!Q8)</f>
        <v>0</v>
      </c>
      <c r="Q62" s="413">
        <f>IF('Painel de Controle'!$H$25="Pleito 3",'Exclusões de M&amp;E'!R9,'Exclusões de M&amp;E'!R8)</f>
        <v>0</v>
      </c>
      <c r="R62" s="413">
        <f>IF('Painel de Controle'!$H$25="Pleito 3",'Exclusões de M&amp;E'!S9,'Exclusões de M&amp;E'!S8)</f>
        <v>0</v>
      </c>
      <c r="S62" s="413">
        <f>IF('Painel de Controle'!$H$25="Pleito 3",'Exclusões de M&amp;E'!T9,'Exclusões de M&amp;E'!T8)</f>
        <v>0</v>
      </c>
      <c r="T62" s="413">
        <f>IF('Painel de Controle'!$H$25="Pleito 3",'Exclusões de M&amp;E'!U9,'Exclusões de M&amp;E'!U8)</f>
        <v>0</v>
      </c>
      <c r="U62" s="413">
        <f>IF('Painel de Controle'!$H$25="Pleito 3",'Exclusões de M&amp;E'!V9,'Exclusões de M&amp;E'!V8)</f>
        <v>0</v>
      </c>
      <c r="V62" s="413">
        <f>IF('Painel de Controle'!$H$25="Pleito 3",'Exclusões de M&amp;E'!W9,'Exclusões de M&amp;E'!W8)</f>
        <v>0</v>
      </c>
      <c r="W62" s="413">
        <f>IF('Painel de Controle'!$H$25="Pleito 3",'Exclusões de M&amp;E'!X9,'Exclusões de M&amp;E'!X8)</f>
        <v>0</v>
      </c>
      <c r="X62" s="413">
        <f>IF('Painel de Controle'!$H$25="Pleito 3",'Exclusões de M&amp;E'!Y9,'Exclusões de M&amp;E'!Y8)</f>
        <v>0</v>
      </c>
      <c r="Y62" s="413">
        <f>IF('Painel de Controle'!$H$25="Pleito 3",'Exclusões de M&amp;E'!Z9,'Exclusões de M&amp;E'!Z8)</f>
        <v>0</v>
      </c>
      <c r="Z62" s="413">
        <f>IF('Painel de Controle'!$H$25="Pleito 3",'Exclusões de M&amp;E'!AA9,'Exclusões de M&amp;E'!AA8)</f>
        <v>0</v>
      </c>
      <c r="AA62" s="413">
        <f>IF('Painel de Controle'!$H$25="Pleito 3",'Exclusões de M&amp;E'!AB9,'Exclusões de M&amp;E'!AB8)</f>
        <v>0</v>
      </c>
      <c r="AB62" s="413">
        <f>IF('Painel de Controle'!$H$25="Pleito 3",'Exclusões de M&amp;E'!AC9,'Exclusões de M&amp;E'!AC8)</f>
        <v>0</v>
      </c>
      <c r="AC62" s="413">
        <f>IF('Painel de Controle'!$H$25="Pleito 3",'Exclusões de M&amp;E'!AD9,'Exclusões de M&amp;E'!AD8)</f>
        <v>0</v>
      </c>
      <c r="AD62" s="413">
        <f>IF('Painel de Controle'!$H$25="Pleito 3",'Exclusões de M&amp;E'!AE9,'Exclusões de M&amp;E'!AE8)</f>
        <v>0</v>
      </c>
      <c r="AE62" s="413">
        <f>IF('Painel de Controle'!$H$25="Pleito 3",'Exclusões de M&amp;E'!AF9,'Exclusões de M&amp;E'!AF8)</f>
        <v>0</v>
      </c>
      <c r="AF62" s="413">
        <f>IF('Painel de Controle'!$H$25="Pleito 3",'Exclusões de M&amp;E'!AG9,'Exclusões de M&amp;E'!AG8)</f>
        <v>0</v>
      </c>
      <c r="AG62" s="413">
        <f>IF('Painel de Controle'!$H$25="Pleito 3",'Exclusões de M&amp;E'!AH9,'Exclusões de M&amp;E'!AH8)</f>
        <v>0</v>
      </c>
      <c r="AH62" s="413">
        <f>IF('Painel de Controle'!$H$25="Pleito 3",'Exclusões de M&amp;E'!AI9,'Exclusões de M&amp;E'!AI8)</f>
        <v>0</v>
      </c>
      <c r="AI62" s="413">
        <f>IF('Painel de Controle'!$H$25="Pleito 3",'Exclusões de M&amp;E'!AJ9,'Exclusões de M&amp;E'!AJ8)</f>
        <v>0</v>
      </c>
      <c r="AJ62" s="413">
        <f>IF('Painel de Controle'!$H$25="Pleito 3",'Exclusões de M&amp;E'!AK9,'Exclusões de M&amp;E'!AK8)</f>
        <v>0</v>
      </c>
      <c r="AK62" s="413">
        <f>IF('Painel de Controle'!$H$25="Pleito 3",'Exclusões de M&amp;E'!AL9,'Exclusões de M&amp;E'!AL8)</f>
        <v>0</v>
      </c>
      <c r="AL62" s="413">
        <f>IF('Painel de Controle'!$H$25="Pleito 3",'Exclusões de M&amp;E'!AM9,'Exclusões de M&amp;E'!AM8)</f>
        <v>0</v>
      </c>
      <c r="AM62" s="413">
        <f>IF('Painel de Controle'!$H$25="Pleito 3",'Exclusões de M&amp;E'!AN9,'Exclusões de M&amp;E'!AN8)</f>
        <v>220.1812965</v>
      </c>
      <c r="AO62" s="118">
        <v>3.6499999999999998E-2</v>
      </c>
    </row>
    <row r="63" spans="2:41" s="15" customFormat="1" ht="18" customHeight="1">
      <c r="B63" s="246" t="s">
        <v>211</v>
      </c>
      <c r="C63" s="247" t="s">
        <v>272</v>
      </c>
      <c r="D63" s="59">
        <f t="shared" si="9"/>
        <v>0</v>
      </c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59"/>
      <c r="X63" s="59"/>
      <c r="Y63" s="59"/>
      <c r="Z63" s="59"/>
      <c r="AA63" s="59"/>
      <c r="AB63" s="59"/>
      <c r="AC63" s="59"/>
      <c r="AD63" s="59"/>
      <c r="AE63" s="59"/>
      <c r="AF63" s="59"/>
      <c r="AG63" s="59"/>
      <c r="AH63" s="59"/>
      <c r="AI63" s="59"/>
      <c r="AJ63" s="59"/>
      <c r="AK63" s="59"/>
      <c r="AL63" s="59"/>
      <c r="AM63" s="59"/>
      <c r="AO63" s="118">
        <v>3.6499999999999998E-2</v>
      </c>
    </row>
    <row r="64" spans="2:41" ht="18" customHeight="1">
      <c r="B64" s="246" t="s">
        <v>212</v>
      </c>
      <c r="C64" s="247" t="s">
        <v>171</v>
      </c>
      <c r="D64" s="59">
        <f t="shared" si="9"/>
        <v>6322.8398215201169</v>
      </c>
      <c r="E64" s="59">
        <f>SUM(E65:E67)</f>
        <v>151.94539524999999</v>
      </c>
      <c r="F64" s="59">
        <f t="shared" ref="F64:AM64" si="12">SUM(F65:F67)</f>
        <v>2.234132797458614</v>
      </c>
      <c r="G64" s="59">
        <f t="shared" si="12"/>
        <v>1506.3594982226571</v>
      </c>
      <c r="H64" s="59">
        <f t="shared" si="12"/>
        <v>0</v>
      </c>
      <c r="I64" s="59">
        <f t="shared" si="12"/>
        <v>0</v>
      </c>
      <c r="J64" s="59">
        <f t="shared" si="12"/>
        <v>0</v>
      </c>
      <c r="K64" s="59">
        <f t="shared" si="12"/>
        <v>151.94539524999999</v>
      </c>
      <c r="L64" s="59">
        <f t="shared" si="12"/>
        <v>0</v>
      </c>
      <c r="M64" s="59">
        <f t="shared" si="12"/>
        <v>0</v>
      </c>
      <c r="N64" s="59">
        <f t="shared" si="12"/>
        <v>0</v>
      </c>
      <c r="O64" s="59">
        <f t="shared" si="12"/>
        <v>0</v>
      </c>
      <c r="P64" s="59">
        <f t="shared" si="12"/>
        <v>0</v>
      </c>
      <c r="Q64" s="59">
        <f t="shared" si="12"/>
        <v>0</v>
      </c>
      <c r="R64" s="59">
        <f t="shared" si="12"/>
        <v>1563.4245000000001</v>
      </c>
      <c r="S64" s="59">
        <f t="shared" si="12"/>
        <v>0</v>
      </c>
      <c r="T64" s="59">
        <f t="shared" si="12"/>
        <v>0.625</v>
      </c>
      <c r="U64" s="59">
        <f t="shared" si="12"/>
        <v>315.40300000000002</v>
      </c>
      <c r="V64" s="59">
        <f t="shared" si="12"/>
        <v>0</v>
      </c>
      <c r="W64" s="59">
        <f t="shared" si="12"/>
        <v>0</v>
      </c>
      <c r="X64" s="59">
        <f t="shared" si="12"/>
        <v>0</v>
      </c>
      <c r="Y64" s="59">
        <f t="shared" si="12"/>
        <v>0</v>
      </c>
      <c r="Z64" s="59">
        <f t="shared" si="12"/>
        <v>0</v>
      </c>
      <c r="AA64" s="59">
        <f t="shared" si="12"/>
        <v>0</v>
      </c>
      <c r="AB64" s="59">
        <f t="shared" si="12"/>
        <v>1563.4245000000001</v>
      </c>
      <c r="AC64" s="59">
        <f t="shared" si="12"/>
        <v>0</v>
      </c>
      <c r="AD64" s="59">
        <f t="shared" si="12"/>
        <v>0</v>
      </c>
      <c r="AE64" s="59">
        <f t="shared" si="12"/>
        <v>315.40300000000002</v>
      </c>
      <c r="AF64" s="59">
        <f t="shared" si="12"/>
        <v>0</v>
      </c>
      <c r="AG64" s="59">
        <f t="shared" si="12"/>
        <v>0</v>
      </c>
      <c r="AH64" s="59">
        <f t="shared" si="12"/>
        <v>0</v>
      </c>
      <c r="AI64" s="59">
        <f t="shared" si="12"/>
        <v>0.625</v>
      </c>
      <c r="AJ64" s="59">
        <f t="shared" si="12"/>
        <v>0</v>
      </c>
      <c r="AK64" s="59">
        <f t="shared" si="12"/>
        <v>0</v>
      </c>
      <c r="AL64" s="59">
        <f t="shared" si="12"/>
        <v>625.36980000000005</v>
      </c>
      <c r="AM64" s="59">
        <f t="shared" si="12"/>
        <v>126.0806</v>
      </c>
      <c r="AO64" s="59"/>
    </row>
    <row r="65" spans="2:41" s="15" customFormat="1" ht="18" customHeight="1">
      <c r="B65" s="60" t="s">
        <v>233</v>
      </c>
      <c r="C65" s="61" t="s">
        <v>153</v>
      </c>
      <c r="D65" s="142">
        <f t="shared" si="9"/>
        <v>3.484132797458614</v>
      </c>
      <c r="E65" s="248"/>
      <c r="F65" s="248">
        <v>2.234132797458614</v>
      </c>
      <c r="G65" s="153">
        <v>0</v>
      </c>
      <c r="H65" s="153">
        <v>0</v>
      </c>
      <c r="I65" s="153">
        <v>0</v>
      </c>
      <c r="J65" s="153">
        <v>0</v>
      </c>
      <c r="K65" s="153">
        <v>0</v>
      </c>
      <c r="L65" s="153">
        <v>0</v>
      </c>
      <c r="M65" s="153">
        <v>0</v>
      </c>
      <c r="N65" s="153">
        <v>0</v>
      </c>
      <c r="O65" s="153">
        <v>0</v>
      </c>
      <c r="P65" s="153">
        <v>0</v>
      </c>
      <c r="Q65" s="153">
        <v>0</v>
      </c>
      <c r="R65" s="153">
        <v>0</v>
      </c>
      <c r="S65" s="153">
        <v>0</v>
      </c>
      <c r="T65" s="153">
        <v>0.625</v>
      </c>
      <c r="U65" s="153">
        <v>0</v>
      </c>
      <c r="V65" s="153">
        <v>0</v>
      </c>
      <c r="W65" s="153">
        <v>0</v>
      </c>
      <c r="X65" s="153">
        <v>0</v>
      </c>
      <c r="Y65" s="153">
        <v>0</v>
      </c>
      <c r="Z65" s="153">
        <v>0</v>
      </c>
      <c r="AA65" s="153">
        <v>0</v>
      </c>
      <c r="AB65" s="153">
        <v>0</v>
      </c>
      <c r="AC65" s="153">
        <v>0</v>
      </c>
      <c r="AD65" s="153">
        <v>0</v>
      </c>
      <c r="AE65" s="153">
        <v>0</v>
      </c>
      <c r="AF65" s="153">
        <v>0</v>
      </c>
      <c r="AG65" s="153">
        <v>0</v>
      </c>
      <c r="AH65" s="153">
        <v>0</v>
      </c>
      <c r="AI65" s="153">
        <v>0.625</v>
      </c>
      <c r="AJ65" s="153">
        <v>0</v>
      </c>
      <c r="AK65" s="153">
        <v>0</v>
      </c>
      <c r="AL65" s="153">
        <v>0</v>
      </c>
      <c r="AM65" s="153">
        <v>0</v>
      </c>
      <c r="AO65" s="152">
        <v>3.6499999999999998E-2</v>
      </c>
    </row>
    <row r="66" spans="2:41" s="15" customFormat="1" ht="18" customHeight="1">
      <c r="B66" s="60" t="s">
        <v>234</v>
      </c>
      <c r="C66" s="61" t="s">
        <v>269</v>
      </c>
      <c r="D66" s="13">
        <f t="shared" si="9"/>
        <v>5258.5782982226574</v>
      </c>
      <c r="E66" s="416">
        <f>IF('Painel de Controle'!$H$22="Pleito 3",'Exclusões de M&amp;E'!F18,'Exclusões de M&amp;E'!F17)</f>
        <v>0</v>
      </c>
      <c r="F66" s="416">
        <f>IF('Painel de Controle'!$H$22="Pleito 3",'Exclusões de M&amp;E'!G18,'Exclusões de M&amp;E'!G17)</f>
        <v>0</v>
      </c>
      <c r="G66" s="416">
        <f>IF('Painel de Controle'!$H$22="Pleito 3",'Exclusões de M&amp;E'!H18,'Exclusões de M&amp;E'!H17)</f>
        <v>1506.3594982226571</v>
      </c>
      <c r="H66" s="416">
        <f>IF('Painel de Controle'!$H$22="Pleito 3",'Exclusões de M&amp;E'!I18,'Exclusões de M&amp;E'!I17)</f>
        <v>0</v>
      </c>
      <c r="I66" s="416">
        <f>IF('Painel de Controle'!$H$22="Pleito 3",'Exclusões de M&amp;E'!J18,'Exclusões de M&amp;E'!J17)</f>
        <v>0</v>
      </c>
      <c r="J66" s="416">
        <f>IF('Painel de Controle'!$H$22="Pleito 3",'Exclusões de M&amp;E'!K18,'Exclusões de M&amp;E'!K17)</f>
        <v>0</v>
      </c>
      <c r="K66" s="416">
        <f>IF('Painel de Controle'!$H$22="Pleito 3",'Exclusões de M&amp;E'!L18,'Exclusões de M&amp;E'!L17)</f>
        <v>0</v>
      </c>
      <c r="L66" s="416">
        <f>IF('Painel de Controle'!$H$22="Pleito 3",'Exclusões de M&amp;E'!M18,'Exclusões de M&amp;E'!M17)</f>
        <v>0</v>
      </c>
      <c r="M66" s="416">
        <f>IF('Painel de Controle'!$H$22="Pleito 3",'Exclusões de M&amp;E'!N18,'Exclusões de M&amp;E'!N17)</f>
        <v>0</v>
      </c>
      <c r="N66" s="416">
        <f>IF('Painel de Controle'!$H$22="Pleito 3",'Exclusões de M&amp;E'!O18,'Exclusões de M&amp;E'!O17)</f>
        <v>0</v>
      </c>
      <c r="O66" s="416">
        <f>IF('Painel de Controle'!$H$22="Pleito 3",'Exclusões de M&amp;E'!P18,'Exclusões de M&amp;E'!P17)</f>
        <v>0</v>
      </c>
      <c r="P66" s="416">
        <f>IF('Painel de Controle'!$H$22="Pleito 3",'Exclusões de M&amp;E'!Q18,'Exclusões de M&amp;E'!Q17)</f>
        <v>0</v>
      </c>
      <c r="Q66" s="416">
        <f>IF('Painel de Controle'!$H$22="Pleito 3",'Exclusões de M&amp;E'!R18,'Exclusões de M&amp;E'!R17)</f>
        <v>0</v>
      </c>
      <c r="R66" s="416">
        <f>IF('Painel de Controle'!$H$22="Pleito 3",'Exclusões de M&amp;E'!S18,'Exclusões de M&amp;E'!S17)</f>
        <v>1563.4245000000001</v>
      </c>
      <c r="S66" s="416">
        <f>IF('Painel de Controle'!$H$22="Pleito 3",'Exclusões de M&amp;E'!T18,'Exclusões de M&amp;E'!T17)</f>
        <v>0</v>
      </c>
      <c r="T66" s="416">
        <f>IF('Painel de Controle'!$H$22="Pleito 3",'Exclusões de M&amp;E'!U18,'Exclusões de M&amp;E'!U17)</f>
        <v>0</v>
      </c>
      <c r="U66" s="416">
        <f>IF('Painel de Controle'!$H$22="Pleito 3",'Exclusões de M&amp;E'!V18,'Exclusões de M&amp;E'!V17)</f>
        <v>0</v>
      </c>
      <c r="V66" s="416">
        <f>IF('Painel de Controle'!$H$22="Pleito 3",'Exclusões de M&amp;E'!W18,'Exclusões de M&amp;E'!W17)</f>
        <v>0</v>
      </c>
      <c r="W66" s="416">
        <f>IF('Painel de Controle'!$H$22="Pleito 3",'Exclusões de M&amp;E'!X18,'Exclusões de M&amp;E'!X17)</f>
        <v>0</v>
      </c>
      <c r="X66" s="416">
        <f>IF('Painel de Controle'!$H$22="Pleito 3",'Exclusões de M&amp;E'!Y18,'Exclusões de M&amp;E'!Y17)</f>
        <v>0</v>
      </c>
      <c r="Y66" s="416">
        <f>IF('Painel de Controle'!$H$22="Pleito 3",'Exclusões de M&amp;E'!Z18,'Exclusões de M&amp;E'!Z17)</f>
        <v>0</v>
      </c>
      <c r="Z66" s="416">
        <f>IF('Painel de Controle'!$H$22="Pleito 3",'Exclusões de M&amp;E'!AA18,'Exclusões de M&amp;E'!AA17)</f>
        <v>0</v>
      </c>
      <c r="AA66" s="416">
        <f>IF('Painel de Controle'!$H$22="Pleito 3",'Exclusões de M&amp;E'!AB18,'Exclusões de M&amp;E'!AB17)</f>
        <v>0</v>
      </c>
      <c r="AB66" s="416">
        <f>IF('Painel de Controle'!$H$22="Pleito 3",'Exclusões de M&amp;E'!AC18,'Exclusões de M&amp;E'!AC17)</f>
        <v>1563.4245000000001</v>
      </c>
      <c r="AC66" s="416">
        <f>IF('Painel de Controle'!$H$22="Pleito 3",'Exclusões de M&amp;E'!AD18,'Exclusões de M&amp;E'!AD17)</f>
        <v>0</v>
      </c>
      <c r="AD66" s="416">
        <f>IF('Painel de Controle'!$H$22="Pleito 3",'Exclusões de M&amp;E'!AE18,'Exclusões de M&amp;E'!AE17)</f>
        <v>0</v>
      </c>
      <c r="AE66" s="416">
        <f>IF('Painel de Controle'!$H$22="Pleito 3",'Exclusões de M&amp;E'!AF18,'Exclusões de M&amp;E'!AF17)</f>
        <v>0</v>
      </c>
      <c r="AF66" s="416">
        <f>IF('Painel de Controle'!$H$22="Pleito 3",'Exclusões de M&amp;E'!AG18,'Exclusões de M&amp;E'!AG17)</f>
        <v>0</v>
      </c>
      <c r="AG66" s="416">
        <f>IF('Painel de Controle'!$H$22="Pleito 3",'Exclusões de M&amp;E'!AH18,'Exclusões de M&amp;E'!AH17)</f>
        <v>0</v>
      </c>
      <c r="AH66" s="416">
        <f>IF('Painel de Controle'!$H$22="Pleito 3",'Exclusões de M&amp;E'!AI18,'Exclusões de M&amp;E'!AI17)</f>
        <v>0</v>
      </c>
      <c r="AI66" s="416">
        <f>IF('Painel de Controle'!$H$22="Pleito 3",'Exclusões de M&amp;E'!AJ18,'Exclusões de M&amp;E'!AJ17)</f>
        <v>0</v>
      </c>
      <c r="AJ66" s="416">
        <f>IF('Painel de Controle'!$H$22="Pleito 3",'Exclusões de M&amp;E'!AK18,'Exclusões de M&amp;E'!AK17)</f>
        <v>0</v>
      </c>
      <c r="AK66" s="416">
        <f>IF('Painel de Controle'!$H$22="Pleito 3",'Exclusões de M&amp;E'!AL18,'Exclusões de M&amp;E'!AL17)</f>
        <v>0</v>
      </c>
      <c r="AL66" s="416">
        <f>IF('Painel de Controle'!$H$22="Pleito 3",'Exclusões de M&amp;E'!AM18,'Exclusões de M&amp;E'!AM17)</f>
        <v>625.36980000000005</v>
      </c>
      <c r="AM66" s="416">
        <f>IF('Painel de Controle'!$H$22="Pleito 3",'Exclusões de M&amp;E'!AN18,'Exclusões de M&amp;E'!AN17)</f>
        <v>0</v>
      </c>
      <c r="AO66" s="152">
        <v>3.6499999999999998E-2</v>
      </c>
    </row>
    <row r="67" spans="2:41" s="15" customFormat="1" ht="18" customHeight="1">
      <c r="B67" s="60" t="s">
        <v>270</v>
      </c>
      <c r="C67" s="61" t="s">
        <v>268</v>
      </c>
      <c r="D67" s="13">
        <f t="shared" si="9"/>
        <v>1060.7773904999999</v>
      </c>
      <c r="E67" s="416">
        <f>IF('Painel de Controle'!$H$28="Pleito 3",'Exclusões de M&amp;E'!F12,'Exclusões de M&amp;E'!F11)</f>
        <v>151.94539524999999</v>
      </c>
      <c r="F67" s="416">
        <f>IF('Painel de Controle'!$H$28="Pleito 3",'Exclusões de M&amp;E'!G12,'Exclusões de M&amp;E'!G11)</f>
        <v>0</v>
      </c>
      <c r="G67" s="416">
        <f>IF('Painel de Controle'!$H$28="Pleito 3",'Exclusões de M&amp;E'!H12,'Exclusões de M&amp;E'!H11)</f>
        <v>0</v>
      </c>
      <c r="H67" s="416">
        <f>IF('Painel de Controle'!$H$28="Pleito 3",'Exclusões de M&amp;E'!I12,'Exclusões de M&amp;E'!I11)</f>
        <v>0</v>
      </c>
      <c r="I67" s="416">
        <f>IF('Painel de Controle'!$H$28="Pleito 3",'Exclusões de M&amp;E'!J12,'Exclusões de M&amp;E'!J11)</f>
        <v>0</v>
      </c>
      <c r="J67" s="416">
        <f>IF('Painel de Controle'!$H$28="Pleito 3",'Exclusões de M&amp;E'!K12,'Exclusões de M&amp;E'!K11)</f>
        <v>0</v>
      </c>
      <c r="K67" s="416">
        <f>IF('Painel de Controle'!$H$28="Pleito 3",'Exclusões de M&amp;E'!L12,'Exclusões de M&amp;E'!L11)</f>
        <v>151.94539524999999</v>
      </c>
      <c r="L67" s="416">
        <f>IF('Painel de Controle'!$H$28="Pleito 3",'Exclusões de M&amp;E'!M12,'Exclusões de M&amp;E'!M11)</f>
        <v>0</v>
      </c>
      <c r="M67" s="416">
        <f>IF('Painel de Controle'!$H$28="Pleito 3",'Exclusões de M&amp;E'!N12,'Exclusões de M&amp;E'!N11)</f>
        <v>0</v>
      </c>
      <c r="N67" s="416">
        <f>IF('Painel de Controle'!$H$28="Pleito 3",'Exclusões de M&amp;E'!O12,'Exclusões de M&amp;E'!O11)</f>
        <v>0</v>
      </c>
      <c r="O67" s="416">
        <f>IF('Painel de Controle'!$H$28="Pleito 3",'Exclusões de M&amp;E'!P12,'Exclusões de M&amp;E'!P11)</f>
        <v>0</v>
      </c>
      <c r="P67" s="416">
        <f>IF('Painel de Controle'!$H$28="Pleito 3",'Exclusões de M&amp;E'!Q12,'Exclusões de M&amp;E'!Q11)</f>
        <v>0</v>
      </c>
      <c r="Q67" s="416">
        <f>IF('Painel de Controle'!$H$28="Pleito 3",'Exclusões de M&amp;E'!R12,'Exclusões de M&amp;E'!R11)</f>
        <v>0</v>
      </c>
      <c r="R67" s="416">
        <f>IF('Painel de Controle'!$H$28="Pleito 3",'Exclusões de M&amp;E'!S12,'Exclusões de M&amp;E'!S11)</f>
        <v>0</v>
      </c>
      <c r="S67" s="416">
        <f>IF('Painel de Controle'!$H$28="Pleito 3",'Exclusões de M&amp;E'!T12,'Exclusões de M&amp;E'!T11)</f>
        <v>0</v>
      </c>
      <c r="T67" s="416">
        <f>IF('Painel de Controle'!$H$28="Pleito 3",'Exclusões de M&amp;E'!U12,'Exclusões de M&amp;E'!U11)</f>
        <v>0</v>
      </c>
      <c r="U67" s="416">
        <f>IF('Painel de Controle'!$H$28="Pleito 3",'Exclusões de M&amp;E'!V12,'Exclusões de M&amp;E'!V11)</f>
        <v>315.40300000000002</v>
      </c>
      <c r="V67" s="416">
        <f>IF('Painel de Controle'!$H$28="Pleito 3",'Exclusões de M&amp;E'!W12,'Exclusões de M&amp;E'!W11)</f>
        <v>0</v>
      </c>
      <c r="W67" s="416">
        <f>IF('Painel de Controle'!$H$28="Pleito 3",'Exclusões de M&amp;E'!X12,'Exclusões de M&amp;E'!X11)</f>
        <v>0</v>
      </c>
      <c r="X67" s="416">
        <f>IF('Painel de Controle'!$H$28="Pleito 3",'Exclusões de M&amp;E'!Y12,'Exclusões de M&amp;E'!Y11)</f>
        <v>0</v>
      </c>
      <c r="Y67" s="416">
        <f>IF('Painel de Controle'!$H$28="Pleito 3",'Exclusões de M&amp;E'!Z12,'Exclusões de M&amp;E'!Z11)</f>
        <v>0</v>
      </c>
      <c r="Z67" s="416">
        <f>IF('Painel de Controle'!$H$28="Pleito 3",'Exclusões de M&amp;E'!AA12,'Exclusões de M&amp;E'!AA11)</f>
        <v>0</v>
      </c>
      <c r="AA67" s="416">
        <f>IF('Painel de Controle'!$H$28="Pleito 3",'Exclusões de M&amp;E'!AB12,'Exclusões de M&amp;E'!AB11)</f>
        <v>0</v>
      </c>
      <c r="AB67" s="416">
        <f>IF('Painel de Controle'!$H$28="Pleito 3",'Exclusões de M&amp;E'!AC12,'Exclusões de M&amp;E'!AC11)</f>
        <v>0</v>
      </c>
      <c r="AC67" s="416">
        <f>IF('Painel de Controle'!$H$28="Pleito 3",'Exclusões de M&amp;E'!AD12,'Exclusões de M&amp;E'!AD11)</f>
        <v>0</v>
      </c>
      <c r="AD67" s="416">
        <f>IF('Painel de Controle'!$H$28="Pleito 3",'Exclusões de M&amp;E'!AE12,'Exclusões de M&amp;E'!AE11)</f>
        <v>0</v>
      </c>
      <c r="AE67" s="416">
        <f>IF('Painel de Controle'!$H$28="Pleito 3",'Exclusões de M&amp;E'!AF12,'Exclusões de M&amp;E'!AF11)</f>
        <v>315.40300000000002</v>
      </c>
      <c r="AF67" s="416">
        <f>IF('Painel de Controle'!$H$28="Pleito 3",'Exclusões de M&amp;E'!AG12,'Exclusões de M&amp;E'!AG11)</f>
        <v>0</v>
      </c>
      <c r="AG67" s="416">
        <f>IF('Painel de Controle'!$H$28="Pleito 3",'Exclusões de M&amp;E'!AH12,'Exclusões de M&amp;E'!AH11)</f>
        <v>0</v>
      </c>
      <c r="AH67" s="416">
        <f>IF('Painel de Controle'!$H$28="Pleito 3",'Exclusões de M&amp;E'!AI12,'Exclusões de M&amp;E'!AI11)</f>
        <v>0</v>
      </c>
      <c r="AI67" s="416">
        <f>IF('Painel de Controle'!$H$28="Pleito 3",'Exclusões de M&amp;E'!AJ12,'Exclusões de M&amp;E'!AJ11)</f>
        <v>0</v>
      </c>
      <c r="AJ67" s="416">
        <f>IF('Painel de Controle'!$H$28="Pleito 3",'Exclusões de M&amp;E'!AK12,'Exclusões de M&amp;E'!AK11)</f>
        <v>0</v>
      </c>
      <c r="AK67" s="416">
        <f>IF('Painel de Controle'!$H$28="Pleito 3",'Exclusões de M&amp;E'!AL12,'Exclusões de M&amp;E'!AL11)</f>
        <v>0</v>
      </c>
      <c r="AL67" s="416">
        <f>IF('Painel de Controle'!$H$28="Pleito 3",'Exclusões de M&amp;E'!AM12,'Exclusões de M&amp;E'!AM11)</f>
        <v>0</v>
      </c>
      <c r="AM67" s="416">
        <f>IF('Painel de Controle'!$H$28="Pleito 3",'Exclusões de M&amp;E'!AN12,'Exclusões de M&amp;E'!AN11)</f>
        <v>126.0806</v>
      </c>
      <c r="AO67" s="152">
        <v>3.6499999999999998E-2</v>
      </c>
    </row>
    <row r="68" spans="2:41" s="15" customFormat="1" ht="18" customHeight="1">
      <c r="B68" s="246" t="s">
        <v>213</v>
      </c>
      <c r="C68" s="247" t="s">
        <v>155</v>
      </c>
      <c r="D68" s="59">
        <f t="shared" si="9"/>
        <v>2210.0954921777343</v>
      </c>
      <c r="E68" s="59">
        <v>370.37348358398441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118.1030390625</v>
      </c>
      <c r="L68" s="59">
        <v>0</v>
      </c>
      <c r="M68" s="59">
        <v>30.14351953125</v>
      </c>
      <c r="N68" s="59">
        <v>118.1030390625</v>
      </c>
      <c r="O68" s="59">
        <v>0</v>
      </c>
      <c r="P68" s="59">
        <v>0</v>
      </c>
      <c r="Q68" s="59">
        <v>118.1030390625</v>
      </c>
      <c r="R68" s="59">
        <v>266.30120117187499</v>
      </c>
      <c r="S68" s="59">
        <v>0</v>
      </c>
      <c r="T68" s="59">
        <v>118.1030390625</v>
      </c>
      <c r="U68" s="59">
        <v>0</v>
      </c>
      <c r="V68" s="59">
        <v>0</v>
      </c>
      <c r="W68" s="59">
        <v>148.24655859375</v>
      </c>
      <c r="X68" s="59">
        <v>0</v>
      </c>
      <c r="Y68" s="59">
        <v>0</v>
      </c>
      <c r="Z68" s="59">
        <v>118.1030390625</v>
      </c>
      <c r="AA68" s="59">
        <v>0</v>
      </c>
      <c r="AB68" s="59">
        <v>266.30120117187499</v>
      </c>
      <c r="AC68" s="59">
        <v>118.1030390625</v>
      </c>
      <c r="AD68" s="59">
        <v>0</v>
      </c>
      <c r="AE68" s="59">
        <v>0</v>
      </c>
      <c r="AF68" s="59">
        <v>118.1030390625</v>
      </c>
      <c r="AG68" s="59">
        <v>30.14351953125</v>
      </c>
      <c r="AH68" s="59">
        <v>0</v>
      </c>
      <c r="AI68" s="59">
        <v>118.1030390625</v>
      </c>
      <c r="AJ68" s="59">
        <v>0</v>
      </c>
      <c r="AK68" s="59">
        <v>0</v>
      </c>
      <c r="AL68" s="59">
        <v>153.76169609375</v>
      </c>
      <c r="AM68" s="59">
        <v>0</v>
      </c>
      <c r="AO68" s="118">
        <v>3.6499999999999998E-2</v>
      </c>
    </row>
    <row r="69" spans="2:41" s="15" customFormat="1" ht="18" customHeight="1">
      <c r="B69" s="246" t="s">
        <v>214</v>
      </c>
      <c r="C69" s="247" t="s">
        <v>154</v>
      </c>
      <c r="D69" s="59">
        <f t="shared" si="9"/>
        <v>2379.5369362419433</v>
      </c>
      <c r="E69" s="413">
        <f>IF('Painel de Controle'!$H$31="Pleito 3",'Exclusões de M&amp;E'!F30,IF('Painel de Controle'!$H$31="Pleito 6",'Exclusões de M&amp;E'!F31,'Exclusões de M&amp;E'!F29))</f>
        <v>268.77887847707518</v>
      </c>
      <c r="F69" s="413">
        <f>IF('Painel de Controle'!$H$31="Pleito 3",'Exclusões de M&amp;E'!G30,IF('Painel de Controle'!$H$31="Pleito 6",'Exclusões de M&amp;E'!G31,'Exclusões de M&amp;E'!G29))</f>
        <v>571.04077651486796</v>
      </c>
      <c r="G69" s="413">
        <f>IF('Painel de Controle'!$H$31="Pleito 3",'Exclusões de M&amp;E'!H30,IF('Painel de Controle'!$H$31="Pleito 6",'Exclusões de M&amp;E'!H31,'Exclusões de M&amp;E'!H29))</f>
        <v>0</v>
      </c>
      <c r="H69" s="413">
        <f>IF('Painel de Controle'!$H$31="Pleito 3",'Exclusões de M&amp;E'!I30,IF('Painel de Controle'!$H$31="Pleito 6",'Exclusões de M&amp;E'!I31,'Exclusões de M&amp;E'!I29))</f>
        <v>0</v>
      </c>
      <c r="I69" s="413">
        <f>IF('Painel de Controle'!$H$31="Pleito 3",'Exclusões de M&amp;E'!J30,IF('Painel de Controle'!$H$31="Pleito 6",'Exclusões de M&amp;E'!J31,'Exclusões de M&amp;E'!J29))</f>
        <v>0</v>
      </c>
      <c r="J69" s="413">
        <f>IF('Painel de Controle'!$H$31="Pleito 3",'Exclusões de M&amp;E'!K30,IF('Painel de Controle'!$H$31="Pleito 6",'Exclusões de M&amp;E'!K31,'Exclusões de M&amp;E'!K29))</f>
        <v>0</v>
      </c>
      <c r="K69" s="413">
        <f>IF('Painel de Controle'!$H$31="Pleito 3",'Exclusões de M&amp;E'!L30,IF('Painel de Controle'!$H$31="Pleito 6",'Exclusões de M&amp;E'!L31,'Exclusões de M&amp;E'!L29))</f>
        <v>0</v>
      </c>
      <c r="L69" s="413">
        <f>IF('Painel de Controle'!$H$31="Pleito 3",'Exclusões de M&amp;E'!M30,IF('Painel de Controle'!$H$31="Pleito 6",'Exclusões de M&amp;E'!M31,'Exclusões de M&amp;E'!M29))</f>
        <v>0</v>
      </c>
      <c r="M69" s="413">
        <f>IF('Painel de Controle'!$H$31="Pleito 3",'Exclusões de M&amp;E'!N30,IF('Painel de Controle'!$H$31="Pleito 6",'Exclusões de M&amp;E'!N31,'Exclusões de M&amp;E'!N29))</f>
        <v>0</v>
      </c>
      <c r="N69" s="413">
        <f>IF('Painel de Controle'!$H$31="Pleito 3",'Exclusões de M&amp;E'!O30,IF('Painel de Controle'!$H$31="Pleito 6",'Exclusões de M&amp;E'!O31,'Exclusões de M&amp;E'!O29))</f>
        <v>0</v>
      </c>
      <c r="O69" s="413">
        <f>IF('Painel de Controle'!$H$31="Pleito 3",'Exclusões de M&amp;E'!P30,IF('Painel de Controle'!$H$31="Pleito 6",'Exclusões de M&amp;E'!P31,'Exclusões de M&amp;E'!P29))</f>
        <v>13.074999999999999</v>
      </c>
      <c r="P69" s="413">
        <f>IF('Painel de Controle'!$H$31="Pleito 3",'Exclusões de M&amp;E'!Q30,IF('Painel de Controle'!$H$31="Pleito 6",'Exclusões de M&amp;E'!Q31,'Exclusões de M&amp;E'!Q29))</f>
        <v>0</v>
      </c>
      <c r="Q69" s="413">
        <f>IF('Painel de Controle'!$H$31="Pleito 3",'Exclusões de M&amp;E'!R30,IF('Painel de Controle'!$H$31="Pleito 6",'Exclusões de M&amp;E'!R31,'Exclusões de M&amp;E'!R29))</f>
        <v>0</v>
      </c>
      <c r="R69" s="413">
        <f>IF('Painel de Controle'!$H$31="Pleito 3",'Exclusões de M&amp;E'!S30,IF('Painel de Controle'!$H$31="Pleito 6",'Exclusões de M&amp;E'!S31,'Exclusões de M&amp;E'!S29))</f>
        <v>0</v>
      </c>
      <c r="S69" s="413">
        <f>IF('Painel de Controle'!$H$31="Pleito 3",'Exclusões de M&amp;E'!T30,IF('Painel de Controle'!$H$31="Pleito 6",'Exclusões de M&amp;E'!T31,'Exclusões de M&amp;E'!T29))</f>
        <v>315</v>
      </c>
      <c r="T69" s="413">
        <f>IF('Painel de Controle'!$H$31="Pleito 3",'Exclusões de M&amp;E'!U30,IF('Painel de Controle'!$H$31="Pleito 6",'Exclusões de M&amp;E'!U31,'Exclusões de M&amp;E'!U29))</f>
        <v>0</v>
      </c>
      <c r="U69" s="413">
        <f>IF('Painel de Controle'!$H$31="Pleito 3",'Exclusões de M&amp;E'!V30,IF('Painel de Controle'!$H$31="Pleito 6",'Exclusões de M&amp;E'!V31,'Exclusões de M&amp;E'!V29))</f>
        <v>0</v>
      </c>
      <c r="V69" s="413">
        <f>IF('Painel de Controle'!$H$31="Pleito 3",'Exclusões de M&amp;E'!W30,IF('Painel de Controle'!$H$31="Pleito 6",'Exclusões de M&amp;E'!W31,'Exclusões de M&amp;E'!W29))</f>
        <v>0</v>
      </c>
      <c r="W69" s="413">
        <f>IF('Painel de Controle'!$H$31="Pleito 3",'Exclusões de M&amp;E'!X30,IF('Painel de Controle'!$H$31="Pleito 6",'Exclusões de M&amp;E'!X31,'Exclusões de M&amp;E'!X29))</f>
        <v>0</v>
      </c>
      <c r="X69" s="413">
        <f>IF('Painel de Controle'!$H$31="Pleito 3",'Exclusões de M&amp;E'!Y30,IF('Painel de Controle'!$H$31="Pleito 6",'Exclusões de M&amp;E'!Y31,'Exclusões de M&amp;E'!Y29))</f>
        <v>0</v>
      </c>
      <c r="Y69" s="413">
        <f>IF('Painel de Controle'!$H$31="Pleito 3",'Exclusões de M&amp;E'!Z30,IF('Painel de Controle'!$H$31="Pleito 6",'Exclusões de M&amp;E'!Z31,'Exclusões de M&amp;E'!Z29))</f>
        <v>13.074999999999999</v>
      </c>
      <c r="Z69" s="413">
        <f>IF('Painel de Controle'!$H$31="Pleito 3",'Exclusões de M&amp;E'!AA30,IF('Painel de Controle'!$H$31="Pleito 6",'Exclusões de M&amp;E'!AA31,'Exclusões de M&amp;E'!AA29))</f>
        <v>0</v>
      </c>
      <c r="AA69" s="413">
        <f>IF('Painel de Controle'!$H$31="Pleito 3",'Exclusões de M&amp;E'!AB30,IF('Painel de Controle'!$H$31="Pleito 6",'Exclusões de M&amp;E'!AB31,'Exclusões de M&amp;E'!AB29))</f>
        <v>0</v>
      </c>
      <c r="AB69" s="413">
        <f>IF('Painel de Controle'!$H$31="Pleito 3",'Exclusões de M&amp;E'!AC30,IF('Painel de Controle'!$H$31="Pleito 6",'Exclusões de M&amp;E'!AC31,'Exclusões de M&amp;E'!AC29))</f>
        <v>0</v>
      </c>
      <c r="AC69" s="413">
        <f>IF('Painel de Controle'!$H$31="Pleito 3",'Exclusões de M&amp;E'!AD30,IF('Painel de Controle'!$H$31="Pleito 6",'Exclusões de M&amp;E'!AD31,'Exclusões de M&amp;E'!AD29))</f>
        <v>0</v>
      </c>
      <c r="AD69" s="413">
        <f>IF('Painel de Controle'!$H$31="Pleito 3",'Exclusões de M&amp;E'!AE30,IF('Painel de Controle'!$H$31="Pleito 6",'Exclusões de M&amp;E'!AE31,'Exclusões de M&amp;E'!AE29))</f>
        <v>0</v>
      </c>
      <c r="AE69" s="413">
        <f>IF('Painel de Controle'!$H$31="Pleito 3",'Exclusões de M&amp;E'!AF30,IF('Painel de Controle'!$H$31="Pleito 6",'Exclusões de M&amp;E'!AF31,'Exclusões de M&amp;E'!AF29))</f>
        <v>0</v>
      </c>
      <c r="AF69" s="413">
        <f>IF('Painel de Controle'!$H$31="Pleito 3",'Exclusões de M&amp;E'!AG30,IF('Painel de Controle'!$H$31="Pleito 6",'Exclusões de M&amp;E'!AG31,'Exclusões de M&amp;E'!AG29))</f>
        <v>0</v>
      </c>
      <c r="AG69" s="413">
        <f>IF('Painel de Controle'!$H$31="Pleito 3",'Exclusões de M&amp;E'!AH30,IF('Painel de Controle'!$H$31="Pleito 6",'Exclusões de M&amp;E'!AH31,'Exclusões de M&amp;E'!AH29))</f>
        <v>1185.4922812499999</v>
      </c>
      <c r="AH69" s="413">
        <f>IF('Painel de Controle'!$H$31="Pleito 3",'Exclusões de M&amp;E'!AI30,IF('Painel de Controle'!$H$31="Pleito 6",'Exclusões de M&amp;E'!AI31,'Exclusões de M&amp;E'!AI29))</f>
        <v>0</v>
      </c>
      <c r="AI69" s="413">
        <f>IF('Painel de Controle'!$H$31="Pleito 3",'Exclusões de M&amp;E'!AJ30,IF('Painel de Controle'!$H$31="Pleito 6",'Exclusões de M&amp;E'!AJ31,'Exclusões de M&amp;E'!AJ29))</f>
        <v>13.074999999999999</v>
      </c>
      <c r="AJ69" s="413">
        <f>IF('Painel de Controle'!$H$31="Pleito 3",'Exclusões de M&amp;E'!AK30,IF('Painel de Controle'!$H$31="Pleito 6",'Exclusões de M&amp;E'!AK31,'Exclusões de M&amp;E'!AK29))</f>
        <v>0</v>
      </c>
      <c r="AK69" s="413">
        <f>IF('Painel de Controle'!$H$31="Pleito 3",'Exclusões de M&amp;E'!AL30,IF('Painel de Controle'!$H$31="Pleito 6",'Exclusões de M&amp;E'!AL31,'Exclusões de M&amp;E'!AL29))</f>
        <v>0</v>
      </c>
      <c r="AL69" s="413">
        <f>IF('Painel de Controle'!$H$31="Pleito 3",'Exclusões de M&amp;E'!AM30,IF('Painel de Controle'!$H$31="Pleito 6",'Exclusões de M&amp;E'!AM31,'Exclusões de M&amp;E'!AM29))</f>
        <v>0</v>
      </c>
      <c r="AM69" s="413">
        <f>IF('Painel de Controle'!$H$31="Pleito 3",'Exclusões de M&amp;E'!AN30,IF('Painel de Controle'!$H$31="Pleito 6",'Exclusões de M&amp;E'!AN31,'Exclusões de M&amp;E'!AN29))</f>
        <v>0</v>
      </c>
      <c r="AO69" s="118">
        <v>3.6499999999999998E-2</v>
      </c>
    </row>
    <row r="70" spans="2:41" ht="18" customHeight="1">
      <c r="B70" s="57" t="s">
        <v>215</v>
      </c>
      <c r="C70" s="58" t="s">
        <v>271</v>
      </c>
      <c r="D70" s="59">
        <f t="shared" si="9"/>
        <v>7362.9839977056799</v>
      </c>
      <c r="E70" s="59">
        <v>1053.3508147150847</v>
      </c>
      <c r="F70" s="59">
        <v>61.481451216766118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1157.065135513672</v>
      </c>
      <c r="N70" s="59">
        <v>0</v>
      </c>
      <c r="O70" s="59">
        <v>0</v>
      </c>
      <c r="P70" s="59">
        <v>0</v>
      </c>
      <c r="Q70" s="59">
        <v>0</v>
      </c>
      <c r="R70" s="59">
        <v>1157.065135513672</v>
      </c>
      <c r="S70" s="59">
        <v>0</v>
      </c>
      <c r="T70" s="59">
        <v>0</v>
      </c>
      <c r="U70" s="59">
        <v>0</v>
      </c>
      <c r="V70" s="59">
        <v>0</v>
      </c>
      <c r="W70" s="59">
        <v>1157.065135513672</v>
      </c>
      <c r="X70" s="59">
        <v>0</v>
      </c>
      <c r="Y70" s="59">
        <v>0</v>
      </c>
      <c r="Z70" s="59">
        <v>0</v>
      </c>
      <c r="AA70" s="59">
        <v>0</v>
      </c>
      <c r="AB70" s="59">
        <v>1157.065135513672</v>
      </c>
      <c r="AC70" s="59">
        <v>0</v>
      </c>
      <c r="AD70" s="59">
        <v>0</v>
      </c>
      <c r="AE70" s="59">
        <v>0</v>
      </c>
      <c r="AF70" s="59">
        <v>0</v>
      </c>
      <c r="AG70" s="59">
        <v>1157.065135513672</v>
      </c>
      <c r="AH70" s="59">
        <v>0</v>
      </c>
      <c r="AI70" s="59">
        <v>0</v>
      </c>
      <c r="AJ70" s="59">
        <v>0</v>
      </c>
      <c r="AK70" s="59">
        <v>0</v>
      </c>
      <c r="AL70" s="59">
        <v>462.82605420546872</v>
      </c>
      <c r="AM70" s="59">
        <v>0</v>
      </c>
      <c r="AO70" s="118">
        <v>3.6499999999999998E-2</v>
      </c>
    </row>
    <row r="71" spans="2:41" s="98" customFormat="1" ht="18" customHeight="1">
      <c r="B71" s="57" t="s">
        <v>216</v>
      </c>
      <c r="C71" s="58" t="s">
        <v>361</v>
      </c>
      <c r="D71" s="59">
        <f t="shared" si="9"/>
        <v>0</v>
      </c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  <c r="S71" s="59"/>
      <c r="T71" s="59"/>
      <c r="U71" s="59"/>
      <c r="V71" s="59"/>
      <c r="W71" s="59"/>
      <c r="X71" s="59"/>
      <c r="Y71" s="59"/>
      <c r="Z71" s="59"/>
      <c r="AA71" s="59"/>
      <c r="AB71" s="59"/>
      <c r="AC71" s="59"/>
      <c r="AD71" s="59"/>
      <c r="AE71" s="59"/>
      <c r="AF71" s="59"/>
      <c r="AG71" s="59"/>
      <c r="AH71" s="59"/>
      <c r="AI71" s="59"/>
      <c r="AJ71" s="59"/>
      <c r="AK71" s="59"/>
      <c r="AL71" s="59"/>
      <c r="AM71" s="59"/>
      <c r="AO71" s="118">
        <v>3.6499999999999998E-2</v>
      </c>
    </row>
    <row r="72" spans="2:41" ht="24.95" customHeight="1">
      <c r="B72" s="37"/>
      <c r="C72" s="38" t="s">
        <v>4</v>
      </c>
      <c r="D72" s="35">
        <f>SUM(E72:AM72)</f>
        <v>317088.64660129946</v>
      </c>
      <c r="E72" s="35">
        <f t="shared" ref="E72:AM72" si="13">E4+E14+E33+E44</f>
        <v>83774.954416808643</v>
      </c>
      <c r="F72" s="35">
        <f t="shared" si="13"/>
        <v>133259.29477541571</v>
      </c>
      <c r="G72" s="35">
        <f t="shared" si="13"/>
        <v>1646.7005958226571</v>
      </c>
      <c r="H72" s="35">
        <f t="shared" si="13"/>
        <v>367.66711972500002</v>
      </c>
      <c r="I72" s="35">
        <f t="shared" si="13"/>
        <v>140.34109760000001</v>
      </c>
      <c r="J72" s="35">
        <f t="shared" si="13"/>
        <v>514.96414800000002</v>
      </c>
      <c r="K72" s="35">
        <f t="shared" si="13"/>
        <v>797.30138431250009</v>
      </c>
      <c r="L72" s="35">
        <f t="shared" si="13"/>
        <v>317.53280000000007</v>
      </c>
      <c r="M72" s="35">
        <f t="shared" si="13"/>
        <v>1332.8662550449219</v>
      </c>
      <c r="N72" s="35">
        <f t="shared" si="13"/>
        <v>499.69838906250004</v>
      </c>
      <c r="O72" s="35">
        <f t="shared" si="13"/>
        <v>2838.3173468749997</v>
      </c>
      <c r="P72" s="35">
        <f t="shared" si="13"/>
        <v>0</v>
      </c>
      <c r="Q72" s="35">
        <f t="shared" si="13"/>
        <v>645.35598906250004</v>
      </c>
      <c r="R72" s="35">
        <f t="shared" si="13"/>
        <v>11741.873168716796</v>
      </c>
      <c r="S72" s="35">
        <f t="shared" si="13"/>
        <v>3740.6362225121998</v>
      </c>
      <c r="T72" s="35">
        <f t="shared" si="13"/>
        <v>1621.5813890625</v>
      </c>
      <c r="U72" s="35">
        <f t="shared" si="13"/>
        <v>10034.2228983758</v>
      </c>
      <c r="V72" s="35">
        <f t="shared" si="13"/>
        <v>0</v>
      </c>
      <c r="W72" s="35">
        <f t="shared" si="13"/>
        <v>1832.5646441074221</v>
      </c>
      <c r="X72" s="35">
        <f t="shared" si="13"/>
        <v>0</v>
      </c>
      <c r="Y72" s="35">
        <f t="shared" si="13"/>
        <v>3121.7653468749995</v>
      </c>
      <c r="Z72" s="35">
        <f t="shared" si="13"/>
        <v>817.23118906249999</v>
      </c>
      <c r="AA72" s="35">
        <f t="shared" si="13"/>
        <v>145.6576</v>
      </c>
      <c r="AB72" s="35">
        <f t="shared" si="13"/>
        <v>13782.637956802737</v>
      </c>
      <c r="AC72" s="35">
        <f t="shared" si="13"/>
        <v>645.35598906250004</v>
      </c>
      <c r="AD72" s="35">
        <f t="shared" si="13"/>
        <v>808.75799999999992</v>
      </c>
      <c r="AE72" s="35">
        <f t="shared" si="13"/>
        <v>461.06060000000002</v>
      </c>
      <c r="AF72" s="35">
        <f t="shared" si="13"/>
        <v>499.69838906250004</v>
      </c>
      <c r="AG72" s="35">
        <f t="shared" si="13"/>
        <v>2835.891336294922</v>
      </c>
      <c r="AH72" s="35">
        <f t="shared" si="13"/>
        <v>21535.3835</v>
      </c>
      <c r="AI72" s="35">
        <f t="shared" si="13"/>
        <v>4782.7243240234402</v>
      </c>
      <c r="AJ72" s="35">
        <f t="shared" si="13"/>
        <v>0</v>
      </c>
      <c r="AK72" s="35">
        <f t="shared" si="13"/>
        <v>145.6576</v>
      </c>
      <c r="AL72" s="35">
        <f t="shared" si="13"/>
        <v>5570.8146331117196</v>
      </c>
      <c r="AM72" s="35">
        <f t="shared" si="13"/>
        <v>6830.1374964999995</v>
      </c>
      <c r="AO72" s="35"/>
    </row>
    <row r="75" spans="2:41">
      <c r="D75" s="78"/>
      <c r="F75" s="145"/>
      <c r="R75" s="145"/>
      <c r="AB75" s="145"/>
      <c r="AG75" s="145"/>
    </row>
    <row r="76" spans="2:41">
      <c r="D76" s="78"/>
      <c r="AB76" s="289"/>
    </row>
    <row r="77" spans="2:41">
      <c r="E77" s="145"/>
    </row>
    <row r="79" spans="2:41">
      <c r="E79" s="145"/>
      <c r="F79" s="145"/>
      <c r="G79" s="145"/>
      <c r="H79" s="145"/>
      <c r="I79" s="145"/>
      <c r="J79" s="145"/>
      <c r="K79" s="145"/>
      <c r="L79" s="145"/>
      <c r="M79" s="145"/>
      <c r="N79" s="145"/>
      <c r="O79" s="145"/>
      <c r="P79" s="145"/>
      <c r="Q79" s="145"/>
      <c r="R79" s="145"/>
      <c r="S79" s="145"/>
      <c r="T79" s="145"/>
      <c r="U79" s="145"/>
      <c r="V79" s="145"/>
      <c r="W79" s="145"/>
      <c r="X79" s="145"/>
      <c r="Y79" s="145"/>
      <c r="Z79" s="145"/>
      <c r="AA79" s="145"/>
      <c r="AB79" s="145"/>
      <c r="AC79" s="145"/>
      <c r="AD79" s="145"/>
      <c r="AE79" s="145"/>
      <c r="AF79" s="145"/>
      <c r="AG79" s="145"/>
      <c r="AH79" s="145"/>
      <c r="AI79" s="145"/>
      <c r="AJ79" s="145"/>
      <c r="AK79" s="145"/>
      <c r="AL79" s="145"/>
      <c r="AM79" s="145"/>
    </row>
  </sheetData>
  <mergeCells count="1">
    <mergeCell ref="B3:C3"/>
  </mergeCells>
  <phoneticPr fontId="33" type="noConversion"/>
  <printOptions horizontalCentered="1"/>
  <pageMargins left="0.98425196850393704" right="0.39370078740157483" top="1.1811023622047245" bottom="1.1811023622047245" header="0.78740157480314965" footer="0.78740157480314965"/>
  <pageSetup paperSize="9" scale="51" orientation="landscape" r:id="rId1"/>
  <headerFooter>
    <oddFooter>&amp;L&amp;"Arial,Negrito"Nota 1: os investimentos nos cinco primeiros anos da concessão foram desonerados de PIS e COFINS pelo enquadramento do projeto no Regime Especial de Incentivos para o Desenvolvimento da Infra-Estrutura (REIDI).</oddFooter>
  </headerFooter>
  <rowBreaks count="1" manualBreakCount="1">
    <brk id="43" min="1" max="38" man="1"/>
  </rowBreaks>
  <colBreaks count="1" manualBreakCount="1">
    <brk id="22" max="66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Planilha9"/>
  <dimension ref="A1:AP101"/>
  <sheetViews>
    <sheetView showGridLines="0" zoomScale="85" zoomScaleNormal="85" workbookViewId="0">
      <pane xSplit="4" ySplit="3" topLeftCell="E4" activePane="bottomRight" state="frozen"/>
      <selection activeCell="F15" sqref="F15"/>
      <selection pane="topRight" activeCell="F15" sqref="F15"/>
      <selection pane="bottomLeft" activeCell="F15" sqref="F15"/>
      <selection pane="bottomRight" activeCell="B3" sqref="B3:D17"/>
    </sheetView>
  </sheetViews>
  <sheetFormatPr defaultColWidth="9.140625" defaultRowHeight="12.75"/>
  <cols>
    <col min="1" max="1" width="2.7109375" customWidth="1"/>
    <col min="2" max="2" width="58.7109375" customWidth="1"/>
    <col min="3" max="3" width="11.140625" style="14" customWidth="1"/>
    <col min="4" max="4" width="12.7109375" style="14" bestFit="1" customWidth="1"/>
    <col min="5" max="5" width="8.7109375" style="14" customWidth="1"/>
    <col min="6" max="6" width="9.42578125" style="14" customWidth="1"/>
    <col min="7" max="8" width="8.7109375" style="14" customWidth="1"/>
    <col min="9" max="9" width="13" style="14" customWidth="1"/>
    <col min="10" max="39" width="8.7109375" style="14" customWidth="1"/>
    <col min="40" max="16384" width="9.140625" style="14"/>
  </cols>
  <sheetData>
    <row r="1" spans="1:39" customFormat="1" ht="30.2" customHeight="1">
      <c r="B1" s="19" t="str">
        <f>QDA!B1:O1</f>
        <v>CONCESSIONÁRIA ROTA DO ATLÂNTICO</v>
      </c>
      <c r="C1" s="19"/>
      <c r="D1" s="68"/>
      <c r="E1" s="14"/>
      <c r="F1" s="14"/>
      <c r="G1" s="14"/>
      <c r="H1" s="19"/>
      <c r="I1" s="207">
        <f>I5/0.97</f>
        <v>0</v>
      </c>
      <c r="J1" s="207">
        <f>I1-I5</f>
        <v>0</v>
      </c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</row>
    <row r="2" spans="1:39" customFormat="1" ht="15">
      <c r="B2" s="5" t="s">
        <v>218</v>
      </c>
      <c r="C2" s="5"/>
      <c r="D2" s="148"/>
      <c r="F2" s="20" t="s">
        <v>43</v>
      </c>
      <c r="G2" s="148"/>
      <c r="H2" s="20" t="s">
        <v>230</v>
      </c>
      <c r="J2" t="e">
        <f>J1/I1</f>
        <v>#DIV/0!</v>
      </c>
      <c r="AH2" s="20"/>
      <c r="AM2" s="20"/>
    </row>
    <row r="3" spans="1:39" customFormat="1" ht="30.2" customHeight="1">
      <c r="B3" s="26" t="s">
        <v>95</v>
      </c>
      <c r="C3" s="26" t="s">
        <v>94</v>
      </c>
      <c r="D3" s="26" t="s">
        <v>4</v>
      </c>
      <c r="E3" s="26">
        <v>1</v>
      </c>
      <c r="F3" s="26">
        <v>2</v>
      </c>
      <c r="G3" s="26">
        <v>3</v>
      </c>
      <c r="H3" s="26">
        <v>4</v>
      </c>
      <c r="I3" s="26">
        <v>5</v>
      </c>
      <c r="J3" s="26">
        <v>6</v>
      </c>
      <c r="K3" s="26">
        <v>7</v>
      </c>
      <c r="L3" s="26">
        <v>8</v>
      </c>
      <c r="M3" s="26">
        <v>9</v>
      </c>
      <c r="N3" s="26">
        <v>10</v>
      </c>
      <c r="O3" s="26">
        <v>11</v>
      </c>
      <c r="P3" s="26">
        <v>12</v>
      </c>
      <c r="Q3" s="26">
        <v>13</v>
      </c>
      <c r="R3" s="26">
        <v>14</v>
      </c>
      <c r="S3" s="26">
        <v>15</v>
      </c>
      <c r="T3" s="26">
        <v>16</v>
      </c>
      <c r="U3" s="26">
        <v>17</v>
      </c>
      <c r="V3" s="26">
        <v>18</v>
      </c>
      <c r="W3" s="26">
        <v>19</v>
      </c>
      <c r="X3" s="26">
        <v>20</v>
      </c>
      <c r="Y3" s="26">
        <v>21</v>
      </c>
      <c r="Z3" s="26">
        <v>22</v>
      </c>
      <c r="AA3" s="26">
        <v>23</v>
      </c>
      <c r="AB3" s="26">
        <v>24</v>
      </c>
      <c r="AC3" s="26">
        <v>25</v>
      </c>
      <c r="AD3" s="26">
        <v>26</v>
      </c>
      <c r="AE3" s="26">
        <v>27</v>
      </c>
      <c r="AF3" s="26">
        <v>28</v>
      </c>
      <c r="AG3" s="26">
        <v>29</v>
      </c>
      <c r="AH3" s="26">
        <v>30</v>
      </c>
      <c r="AI3" s="26">
        <v>31</v>
      </c>
      <c r="AJ3" s="26">
        <v>32</v>
      </c>
      <c r="AK3" s="26">
        <v>33</v>
      </c>
      <c r="AL3" s="26">
        <v>34</v>
      </c>
      <c r="AM3" s="26">
        <v>35</v>
      </c>
    </row>
    <row r="4" spans="1:39" ht="18" customHeight="1">
      <c r="B4" s="24" t="s">
        <v>274</v>
      </c>
      <c r="C4" s="79">
        <v>35</v>
      </c>
      <c r="D4" s="27">
        <f t="shared" ref="D4:D9" si="0">SUM(E4:AM4)</f>
        <v>180737.0674125122</v>
      </c>
      <c r="E4" s="28">
        <f>QDE!E4</f>
        <v>56648.618090000004</v>
      </c>
      <c r="F4" s="28">
        <f>QDE!F4</f>
        <v>94686.893199999991</v>
      </c>
      <c r="G4" s="28">
        <f>QDE!G4</f>
        <v>0</v>
      </c>
      <c r="H4" s="28">
        <f>QDE!H4</f>
        <v>0</v>
      </c>
      <c r="I4" s="28">
        <f>QDE!I4</f>
        <v>0</v>
      </c>
      <c r="J4" s="28">
        <f>QDE!J4</f>
        <v>0</v>
      </c>
      <c r="K4" s="28">
        <f>QDE!K4</f>
        <v>0</v>
      </c>
      <c r="L4" s="28">
        <f>QDE!L4</f>
        <v>0</v>
      </c>
      <c r="M4" s="28">
        <f>QDE!M4</f>
        <v>0</v>
      </c>
      <c r="N4" s="28">
        <f>QDE!N4</f>
        <v>0</v>
      </c>
      <c r="O4" s="28">
        <f>QDE!O4</f>
        <v>0</v>
      </c>
      <c r="P4" s="28">
        <f>QDE!P4</f>
        <v>0</v>
      </c>
      <c r="Q4" s="28">
        <f>QDE!Q4</f>
        <v>0</v>
      </c>
      <c r="R4" s="28">
        <f>QDE!R4</f>
        <v>0</v>
      </c>
      <c r="S4" s="28">
        <f>QDE!S4</f>
        <v>2415.4458225121998</v>
      </c>
      <c r="T4" s="28">
        <f>QDE!T4</f>
        <v>0</v>
      </c>
      <c r="U4" s="28">
        <f>QDE!U4</f>
        <v>0</v>
      </c>
      <c r="V4" s="28">
        <f>QDE!V4</f>
        <v>0</v>
      </c>
      <c r="W4" s="28">
        <f>QDE!W4</f>
        <v>0</v>
      </c>
      <c r="X4" s="28">
        <f>QDE!X4</f>
        <v>0</v>
      </c>
      <c r="Y4" s="28">
        <f>QDE!Y4</f>
        <v>0</v>
      </c>
      <c r="Z4" s="28">
        <f>QDE!Z4</f>
        <v>0</v>
      </c>
      <c r="AA4" s="28">
        <f>QDE!AA4</f>
        <v>0</v>
      </c>
      <c r="AB4" s="28">
        <f>QDE!AB4</f>
        <v>0</v>
      </c>
      <c r="AC4" s="28">
        <f>QDE!AC4</f>
        <v>0</v>
      </c>
      <c r="AD4" s="28">
        <f>QDE!AD4</f>
        <v>0</v>
      </c>
      <c r="AE4" s="28">
        <f>QDE!AE4</f>
        <v>0</v>
      </c>
      <c r="AF4" s="28">
        <f>QDE!AF4</f>
        <v>0</v>
      </c>
      <c r="AG4" s="28">
        <f>QDE!AG4</f>
        <v>0</v>
      </c>
      <c r="AH4" s="28">
        <f>QDE!AH4</f>
        <v>20889.754300000001</v>
      </c>
      <c r="AI4" s="28">
        <f>QDE!AI4</f>
        <v>0</v>
      </c>
      <c r="AJ4" s="28">
        <f>QDE!AJ4</f>
        <v>0</v>
      </c>
      <c r="AK4" s="28">
        <f>QDE!AK4</f>
        <v>0</v>
      </c>
      <c r="AL4" s="28">
        <f>QDE!AL4</f>
        <v>0</v>
      </c>
      <c r="AM4" s="28">
        <f>QDE!AM4</f>
        <v>6096.3559999999998</v>
      </c>
    </row>
    <row r="5" spans="1:39" ht="18" customHeight="1">
      <c r="B5" s="24" t="s">
        <v>198</v>
      </c>
      <c r="C5" s="79">
        <v>35</v>
      </c>
      <c r="D5" s="204">
        <f t="shared" si="0"/>
        <v>54024.366450973161</v>
      </c>
      <c r="E5" s="28">
        <f>QDE!E14</f>
        <v>15543.557814472375</v>
      </c>
      <c r="F5" s="28">
        <f>QDE!F14</f>
        <v>30346.888711445787</v>
      </c>
      <c r="G5" s="28">
        <f>QDE!G14</f>
        <v>0</v>
      </c>
      <c r="H5" s="28">
        <f>QDE!H14</f>
        <v>0</v>
      </c>
      <c r="I5" s="28">
        <f>QDE!I14</f>
        <v>0</v>
      </c>
      <c r="J5" s="28">
        <f>QDE!J14</f>
        <v>0</v>
      </c>
      <c r="K5" s="28">
        <f>QDE!K14</f>
        <v>0</v>
      </c>
      <c r="L5" s="28">
        <f>QDE!L14</f>
        <v>0</v>
      </c>
      <c r="M5" s="28">
        <f>QDE!M14</f>
        <v>0</v>
      </c>
      <c r="N5" s="28">
        <f>QDE!N14</f>
        <v>0</v>
      </c>
      <c r="O5" s="28">
        <f>QDE!O14</f>
        <v>0</v>
      </c>
      <c r="P5" s="28">
        <f>QDE!P14</f>
        <v>0</v>
      </c>
      <c r="Q5" s="28">
        <f>QDE!Q14</f>
        <v>0</v>
      </c>
      <c r="R5" s="28">
        <f>QDE!R14</f>
        <v>0</v>
      </c>
      <c r="S5" s="28">
        <f>QDE!S14</f>
        <v>0</v>
      </c>
      <c r="T5" s="28">
        <f>QDE!T14</f>
        <v>0</v>
      </c>
      <c r="U5" s="28">
        <f>QDE!U14</f>
        <v>8133.919925055</v>
      </c>
      <c r="V5" s="28">
        <f>QDE!V14</f>
        <v>0</v>
      </c>
      <c r="W5" s="28">
        <f>QDE!W14</f>
        <v>0</v>
      </c>
      <c r="X5" s="28">
        <f>QDE!X14</f>
        <v>0</v>
      </c>
      <c r="Y5" s="28">
        <f>QDE!Y14</f>
        <v>0</v>
      </c>
      <c r="Z5" s="28">
        <f>QDE!Z14</f>
        <v>0</v>
      </c>
      <c r="AA5" s="28">
        <f>QDE!AA14</f>
        <v>0</v>
      </c>
      <c r="AB5" s="28">
        <f>QDE!AB14</f>
        <v>0</v>
      </c>
      <c r="AC5" s="28">
        <f>QDE!AC14</f>
        <v>0</v>
      </c>
      <c r="AD5" s="28">
        <f>QDE!AD14</f>
        <v>0</v>
      </c>
      <c r="AE5" s="28">
        <f>QDE!AE14</f>
        <v>0</v>
      </c>
      <c r="AF5" s="28">
        <f>QDE!AF14</f>
        <v>0</v>
      </c>
      <c r="AG5" s="28">
        <f>QDE!AG14</f>
        <v>0</v>
      </c>
      <c r="AH5" s="28">
        <f>QDE!AH14</f>
        <v>0</v>
      </c>
      <c r="AI5" s="28">
        <f>QDE!AI14</f>
        <v>0</v>
      </c>
      <c r="AJ5" s="28">
        <f>QDE!AJ14</f>
        <v>0</v>
      </c>
      <c r="AK5" s="28">
        <f>QDE!AK14</f>
        <v>0</v>
      </c>
      <c r="AL5" s="28">
        <f>QDE!AL14</f>
        <v>0</v>
      </c>
      <c r="AM5" s="28">
        <f>QDE!AM14</f>
        <v>0</v>
      </c>
    </row>
    <row r="6" spans="1:39" ht="18" customHeight="1">
      <c r="B6" s="24" t="s">
        <v>280</v>
      </c>
      <c r="C6" s="79">
        <v>8</v>
      </c>
      <c r="D6" s="27">
        <f t="shared" si="0"/>
        <v>4489.951709317631</v>
      </c>
      <c r="E6" s="28">
        <f>QDE!E33</f>
        <v>1663.1828678282948</v>
      </c>
      <c r="F6" s="28">
        <f>QDE!F33</f>
        <v>2826.768841489336</v>
      </c>
      <c r="G6" s="28">
        <f>QDE!G33</f>
        <v>0</v>
      </c>
      <c r="H6" s="28">
        <f>QDE!H33</f>
        <v>0</v>
      </c>
      <c r="I6" s="28">
        <f>QDE!I33</f>
        <v>0</v>
      </c>
      <c r="J6" s="28">
        <f>QDE!J33</f>
        <v>0</v>
      </c>
      <c r="K6" s="28">
        <f>QDE!K33</f>
        <v>0</v>
      </c>
      <c r="L6" s="28">
        <f>QDE!L33</f>
        <v>0</v>
      </c>
      <c r="M6" s="28">
        <f>QDE!M33</f>
        <v>0</v>
      </c>
      <c r="N6" s="28">
        <f>QDE!N33</f>
        <v>0</v>
      </c>
      <c r="O6" s="28">
        <f>QDE!O33</f>
        <v>0</v>
      </c>
      <c r="P6" s="28">
        <f>QDE!P33</f>
        <v>0</v>
      </c>
      <c r="Q6" s="28">
        <f>QDE!Q33</f>
        <v>0</v>
      </c>
      <c r="R6" s="28">
        <f>QDE!R33</f>
        <v>0</v>
      </c>
      <c r="S6" s="28">
        <f>QDE!S33</f>
        <v>0</v>
      </c>
      <c r="T6" s="28">
        <f>QDE!T33</f>
        <v>0</v>
      </c>
      <c r="U6" s="28">
        <f>QDE!U33</f>
        <v>0</v>
      </c>
      <c r="V6" s="28">
        <f>QDE!V33</f>
        <v>0</v>
      </c>
      <c r="W6" s="28">
        <f>QDE!W33</f>
        <v>0</v>
      </c>
      <c r="X6" s="28">
        <f>QDE!X33</f>
        <v>0</v>
      </c>
      <c r="Y6" s="28">
        <f>QDE!Y33</f>
        <v>0</v>
      </c>
      <c r="Z6" s="28">
        <f>QDE!Z33</f>
        <v>0</v>
      </c>
      <c r="AA6" s="28">
        <f>QDE!AA33</f>
        <v>0</v>
      </c>
      <c r="AB6" s="28">
        <f>QDE!AB33</f>
        <v>0</v>
      </c>
      <c r="AC6" s="28">
        <f>QDE!AC33</f>
        <v>0</v>
      </c>
      <c r="AD6" s="28">
        <f>QDE!AD33</f>
        <v>0</v>
      </c>
      <c r="AE6" s="28">
        <f>QDE!AE33</f>
        <v>0</v>
      </c>
      <c r="AF6" s="28">
        <f>QDE!AF33</f>
        <v>0</v>
      </c>
      <c r="AG6" s="28">
        <f>QDE!AG33</f>
        <v>0</v>
      </c>
      <c r="AH6" s="28">
        <f>QDE!AH33</f>
        <v>0</v>
      </c>
      <c r="AI6" s="28">
        <f>QDE!AI33</f>
        <v>0</v>
      </c>
      <c r="AJ6" s="28">
        <f>QDE!AJ33</f>
        <v>0</v>
      </c>
      <c r="AK6" s="28">
        <f>QDE!AK33</f>
        <v>0</v>
      </c>
      <c r="AL6" s="28">
        <f>QDE!AL33</f>
        <v>0</v>
      </c>
      <c r="AM6" s="28">
        <f>QDE!AM33</f>
        <v>0</v>
      </c>
    </row>
    <row r="7" spans="1:39" s="1" customFormat="1" ht="18" customHeight="1">
      <c r="B7" s="24" t="s">
        <v>281</v>
      </c>
      <c r="C7" s="79">
        <v>5</v>
      </c>
      <c r="D7" s="27">
        <f t="shared" si="0"/>
        <v>77837.26102849649</v>
      </c>
      <c r="E7" s="28">
        <f>QDE!E44</f>
        <v>9919.5956445079792</v>
      </c>
      <c r="F7" s="28">
        <f>QDE!F44</f>
        <v>5398.7440224806041</v>
      </c>
      <c r="G7" s="28">
        <f>QDE!G44</f>
        <v>1646.7005958226571</v>
      </c>
      <c r="H7" s="28">
        <f>QDE!H44</f>
        <v>367.66711972500002</v>
      </c>
      <c r="I7" s="28">
        <f>QDE!I44</f>
        <v>140.34109760000001</v>
      </c>
      <c r="J7" s="28">
        <f>QDE!J44</f>
        <v>514.96414800000002</v>
      </c>
      <c r="K7" s="28">
        <f>QDE!K44</f>
        <v>797.30138431250009</v>
      </c>
      <c r="L7" s="28">
        <f>QDE!L44</f>
        <v>317.53280000000007</v>
      </c>
      <c r="M7" s="28">
        <f>QDE!M44</f>
        <v>1332.8662550449219</v>
      </c>
      <c r="N7" s="28">
        <f>QDE!N44</f>
        <v>499.69838906250004</v>
      </c>
      <c r="O7" s="28">
        <f>QDE!O44</f>
        <v>2838.3173468749997</v>
      </c>
      <c r="P7" s="28">
        <f>QDE!P44</f>
        <v>0</v>
      </c>
      <c r="Q7" s="28">
        <f>QDE!Q44</f>
        <v>645.35598906250004</v>
      </c>
      <c r="R7" s="28">
        <f>QDE!R44</f>
        <v>11741.873168716796</v>
      </c>
      <c r="S7" s="28">
        <f>QDE!S44</f>
        <v>1325.1904</v>
      </c>
      <c r="T7" s="28">
        <f>QDE!T44</f>
        <v>1621.5813890625</v>
      </c>
      <c r="U7" s="28">
        <f>QDE!U44</f>
        <v>1900.3029733208</v>
      </c>
      <c r="V7" s="28">
        <f>QDE!V44</f>
        <v>0</v>
      </c>
      <c r="W7" s="28">
        <f>QDE!W44</f>
        <v>1832.5646441074221</v>
      </c>
      <c r="X7" s="28">
        <f>QDE!X44</f>
        <v>0</v>
      </c>
      <c r="Y7" s="28">
        <f>QDE!Y44</f>
        <v>3121.7653468749995</v>
      </c>
      <c r="Z7" s="28">
        <f>QDE!Z44</f>
        <v>817.23118906249999</v>
      </c>
      <c r="AA7" s="28">
        <f>QDE!AA44</f>
        <v>145.6576</v>
      </c>
      <c r="AB7" s="28">
        <f>QDE!AB44</f>
        <v>13782.637956802737</v>
      </c>
      <c r="AC7" s="28">
        <f>QDE!AC44</f>
        <v>645.35598906250004</v>
      </c>
      <c r="AD7" s="28">
        <f>QDE!AD44</f>
        <v>808.75799999999992</v>
      </c>
      <c r="AE7" s="28">
        <f>QDE!AE44</f>
        <v>461.06060000000002</v>
      </c>
      <c r="AF7" s="28">
        <f>QDE!AF44</f>
        <v>499.69838906250004</v>
      </c>
      <c r="AG7" s="28">
        <f>QDE!AG44</f>
        <v>2835.891336294922</v>
      </c>
      <c r="AH7" s="28">
        <f>QDE!AH44</f>
        <v>645.62919999999997</v>
      </c>
      <c r="AI7" s="28">
        <f>QDE!AI44</f>
        <v>4782.7243240234402</v>
      </c>
      <c r="AJ7" s="28">
        <f>QDE!AJ44</f>
        <v>0</v>
      </c>
      <c r="AK7" s="28">
        <f>QDE!AK44</f>
        <v>145.6576</v>
      </c>
      <c r="AL7" s="28">
        <f>QDE!AL44</f>
        <v>5570.8146331117196</v>
      </c>
      <c r="AM7" s="28">
        <f>QDE!AM44</f>
        <v>733.7814965</v>
      </c>
    </row>
    <row r="8" spans="1:39" ht="18" customHeight="1">
      <c r="A8" t="s">
        <v>365</v>
      </c>
      <c r="B8" s="24" t="s">
        <v>364</v>
      </c>
      <c r="C8" s="79">
        <f>C4</f>
        <v>35</v>
      </c>
      <c r="D8" s="27">
        <f t="shared" si="0"/>
        <v>1160.8910117804285</v>
      </c>
      <c r="E8" s="40"/>
      <c r="F8" s="40"/>
      <c r="G8" s="40"/>
      <c r="H8" s="40">
        <f>SUM(H4:H5)/(1-$C$25)-SUM(H4:H5)</f>
        <v>0</v>
      </c>
      <c r="I8" s="40">
        <f>SUM(I4:I5)/(1-$C$25)-SUM(I4:I5)</f>
        <v>0</v>
      </c>
      <c r="J8" s="40">
        <f>SUM(J4:J5)/(1-$C$25)-SUM(J4:J5)</f>
        <v>0</v>
      </c>
      <c r="K8" s="40">
        <f>SUM(K4:K5)/(1-$C$25)-SUM(K4:K5)</f>
        <v>0</v>
      </c>
      <c r="L8" s="40">
        <f t="shared" ref="L8:AM8" si="1">SUM(L4:L5)/(1-$C$25)-SUM(L4:L5)</f>
        <v>0</v>
      </c>
      <c r="M8" s="40">
        <f t="shared" si="1"/>
        <v>0</v>
      </c>
      <c r="N8" s="40">
        <f t="shared" si="1"/>
        <v>0</v>
      </c>
      <c r="O8" s="40">
        <f t="shared" si="1"/>
        <v>0</v>
      </c>
      <c r="P8" s="40">
        <f t="shared" si="1"/>
        <v>0</v>
      </c>
      <c r="Q8" s="40">
        <f t="shared" si="1"/>
        <v>0</v>
      </c>
      <c r="R8" s="40">
        <f t="shared" si="1"/>
        <v>0</v>
      </c>
      <c r="S8" s="40">
        <f t="shared" si="1"/>
        <v>74.704509974604207</v>
      </c>
      <c r="T8" s="40">
        <f t="shared" si="1"/>
        <v>0</v>
      </c>
      <c r="U8" s="40">
        <f t="shared" si="1"/>
        <v>251.5645337645883</v>
      </c>
      <c r="V8" s="40">
        <f t="shared" si="1"/>
        <v>0</v>
      </c>
      <c r="W8" s="40">
        <f t="shared" si="1"/>
        <v>0</v>
      </c>
      <c r="X8" s="40">
        <f t="shared" si="1"/>
        <v>0</v>
      </c>
      <c r="Y8" s="40">
        <f t="shared" si="1"/>
        <v>0</v>
      </c>
      <c r="Z8" s="40">
        <f t="shared" si="1"/>
        <v>0</v>
      </c>
      <c r="AA8" s="40">
        <f t="shared" si="1"/>
        <v>0</v>
      </c>
      <c r="AB8" s="40">
        <f t="shared" si="1"/>
        <v>0</v>
      </c>
      <c r="AC8" s="40">
        <f t="shared" si="1"/>
        <v>0</v>
      </c>
      <c r="AD8" s="40">
        <f t="shared" si="1"/>
        <v>0</v>
      </c>
      <c r="AE8" s="40">
        <f t="shared" si="1"/>
        <v>0</v>
      </c>
      <c r="AF8" s="40">
        <f t="shared" si="1"/>
        <v>0</v>
      </c>
      <c r="AG8" s="40">
        <f t="shared" si="1"/>
        <v>0</v>
      </c>
      <c r="AH8" s="40">
        <f t="shared" si="1"/>
        <v>646.07487525773104</v>
      </c>
      <c r="AI8" s="40">
        <f t="shared" si="1"/>
        <v>0</v>
      </c>
      <c r="AJ8" s="40">
        <f t="shared" si="1"/>
        <v>0</v>
      </c>
      <c r="AK8" s="40">
        <f t="shared" si="1"/>
        <v>0</v>
      </c>
      <c r="AL8" s="40">
        <f t="shared" si="1"/>
        <v>0</v>
      </c>
      <c r="AM8" s="40">
        <f t="shared" si="1"/>
        <v>188.54709278350492</v>
      </c>
    </row>
    <row r="9" spans="1:39" ht="18" customHeight="1">
      <c r="B9" s="911" t="s">
        <v>4</v>
      </c>
      <c r="C9" s="912"/>
      <c r="D9" s="35">
        <f t="shared" si="0"/>
        <v>318249.53761307988</v>
      </c>
      <c r="E9" s="41">
        <f>SUM(E4:E8)</f>
        <v>83774.954416808643</v>
      </c>
      <c r="F9" s="41">
        <f t="shared" ref="F9:AM9" si="2">SUM(F4:F8)</f>
        <v>133259.29477541571</v>
      </c>
      <c r="G9" s="41">
        <f t="shared" si="2"/>
        <v>1646.7005958226571</v>
      </c>
      <c r="H9" s="41">
        <f t="shared" si="2"/>
        <v>367.66711972500002</v>
      </c>
      <c r="I9" s="41">
        <f t="shared" si="2"/>
        <v>140.34109760000001</v>
      </c>
      <c r="J9" s="41">
        <f t="shared" si="2"/>
        <v>514.96414800000002</v>
      </c>
      <c r="K9" s="41">
        <f t="shared" si="2"/>
        <v>797.30138431250009</v>
      </c>
      <c r="L9" s="41">
        <f t="shared" si="2"/>
        <v>317.53280000000007</v>
      </c>
      <c r="M9" s="41">
        <f t="shared" si="2"/>
        <v>1332.8662550449219</v>
      </c>
      <c r="N9" s="41">
        <f t="shared" si="2"/>
        <v>499.69838906250004</v>
      </c>
      <c r="O9" s="41">
        <f t="shared" si="2"/>
        <v>2838.3173468749997</v>
      </c>
      <c r="P9" s="41">
        <f t="shared" si="2"/>
        <v>0</v>
      </c>
      <c r="Q9" s="41">
        <f t="shared" si="2"/>
        <v>645.35598906250004</v>
      </c>
      <c r="R9" s="41">
        <f t="shared" si="2"/>
        <v>11741.873168716796</v>
      </c>
      <c r="S9" s="41">
        <f t="shared" si="2"/>
        <v>3815.340732486804</v>
      </c>
      <c r="T9" s="41">
        <f t="shared" si="2"/>
        <v>1621.5813890625</v>
      </c>
      <c r="U9" s="41">
        <f t="shared" si="2"/>
        <v>10285.787432140387</v>
      </c>
      <c r="V9" s="41">
        <f t="shared" si="2"/>
        <v>0</v>
      </c>
      <c r="W9" s="41">
        <f t="shared" si="2"/>
        <v>1832.5646441074221</v>
      </c>
      <c r="X9" s="41">
        <f t="shared" si="2"/>
        <v>0</v>
      </c>
      <c r="Y9" s="41">
        <f t="shared" si="2"/>
        <v>3121.7653468749995</v>
      </c>
      <c r="Z9" s="41">
        <f t="shared" si="2"/>
        <v>817.23118906249999</v>
      </c>
      <c r="AA9" s="41">
        <f t="shared" si="2"/>
        <v>145.6576</v>
      </c>
      <c r="AB9" s="41">
        <f t="shared" si="2"/>
        <v>13782.637956802737</v>
      </c>
      <c r="AC9" s="41">
        <f t="shared" si="2"/>
        <v>645.35598906250004</v>
      </c>
      <c r="AD9" s="41">
        <f t="shared" si="2"/>
        <v>808.75799999999992</v>
      </c>
      <c r="AE9" s="41">
        <f t="shared" si="2"/>
        <v>461.06060000000002</v>
      </c>
      <c r="AF9" s="41">
        <f t="shared" si="2"/>
        <v>499.69838906250004</v>
      </c>
      <c r="AG9" s="41">
        <f t="shared" si="2"/>
        <v>2835.891336294922</v>
      </c>
      <c r="AH9" s="41">
        <f t="shared" si="2"/>
        <v>22181.458375257731</v>
      </c>
      <c r="AI9" s="41">
        <f t="shared" si="2"/>
        <v>4782.7243240234402</v>
      </c>
      <c r="AJ9" s="41">
        <f t="shared" si="2"/>
        <v>0</v>
      </c>
      <c r="AK9" s="41">
        <f t="shared" si="2"/>
        <v>145.6576</v>
      </c>
      <c r="AL9" s="41">
        <f t="shared" si="2"/>
        <v>5570.8146331117196</v>
      </c>
      <c r="AM9" s="41">
        <f t="shared" si="2"/>
        <v>7018.6845892835045</v>
      </c>
    </row>
    <row r="10" spans="1:39">
      <c r="D10" s="80"/>
    </row>
    <row r="11" spans="1:39" ht="30.2" customHeight="1">
      <c r="B11" s="26" t="s">
        <v>96</v>
      </c>
      <c r="C11" s="26" t="s">
        <v>94</v>
      </c>
      <c r="D11" s="26" t="s">
        <v>4</v>
      </c>
      <c r="E11" s="26">
        <v>1</v>
      </c>
      <c r="F11" s="26">
        <v>2</v>
      </c>
      <c r="G11" s="26">
        <v>3</v>
      </c>
      <c r="H11" s="26">
        <v>4</v>
      </c>
      <c r="I11" s="26">
        <v>5</v>
      </c>
      <c r="J11" s="26">
        <v>6</v>
      </c>
      <c r="K11" s="26">
        <v>7</v>
      </c>
      <c r="L11" s="26">
        <v>8</v>
      </c>
      <c r="M11" s="26">
        <v>9</v>
      </c>
      <c r="N11" s="26">
        <v>10</v>
      </c>
      <c r="O11" s="26">
        <v>11</v>
      </c>
      <c r="P11" s="26">
        <v>12</v>
      </c>
      <c r="Q11" s="26">
        <v>13</v>
      </c>
      <c r="R11" s="26">
        <v>14</v>
      </c>
      <c r="S11" s="26">
        <v>15</v>
      </c>
      <c r="T11" s="26">
        <v>16</v>
      </c>
      <c r="U11" s="26">
        <v>17</v>
      </c>
      <c r="V11" s="26">
        <v>18</v>
      </c>
      <c r="W11" s="26">
        <v>19</v>
      </c>
      <c r="X11" s="26">
        <v>20</v>
      </c>
      <c r="Y11" s="26">
        <v>21</v>
      </c>
      <c r="Z11" s="26">
        <v>22</v>
      </c>
      <c r="AA11" s="26">
        <v>23</v>
      </c>
      <c r="AB11" s="26">
        <v>24</v>
      </c>
      <c r="AC11" s="26">
        <v>25</v>
      </c>
      <c r="AD11" s="26">
        <v>26</v>
      </c>
      <c r="AE11" s="26">
        <v>27</v>
      </c>
      <c r="AF11" s="26">
        <v>28</v>
      </c>
      <c r="AG11" s="26">
        <v>29</v>
      </c>
      <c r="AH11" s="26">
        <v>30</v>
      </c>
      <c r="AI11" s="26">
        <v>31</v>
      </c>
      <c r="AJ11" s="26">
        <v>32</v>
      </c>
      <c r="AK11" s="26">
        <v>33</v>
      </c>
      <c r="AL11" s="26">
        <v>34</v>
      </c>
      <c r="AM11" s="26">
        <v>35</v>
      </c>
    </row>
    <row r="12" spans="1:39" ht="18" customHeight="1">
      <c r="B12" s="24" t="str">
        <f>B4</f>
        <v>1.  OBRAS DE AMPLIAÇÃO E REQUALIFICAÇÃO</v>
      </c>
      <c r="C12" s="79">
        <f>C4</f>
        <v>35</v>
      </c>
      <c r="D12" s="27">
        <f t="shared" ref="D12:D17" si="3">SUM(E12:AM12)</f>
        <v>180737.06741251223</v>
      </c>
      <c r="E12" s="205"/>
      <c r="F12" s="205">
        <f>$E4/($C4-E11)</f>
        <v>1666.1358261764708</v>
      </c>
      <c r="G12" s="205">
        <f>F4/($C4-F11)+F12</f>
        <v>4535.4356201158644</v>
      </c>
      <c r="H12" s="205">
        <f>G4/($C4-G11)+G12</f>
        <v>4535.4356201158644</v>
      </c>
      <c r="I12" s="205">
        <f>H4/($C4-H11)+H12</f>
        <v>4535.4356201158644</v>
      </c>
      <c r="J12" s="205">
        <f t="shared" ref="J12:AL12" si="4">I4/($C4-I11)+I12</f>
        <v>4535.4356201158644</v>
      </c>
      <c r="K12" s="205">
        <f t="shared" si="4"/>
        <v>4535.4356201158644</v>
      </c>
      <c r="L12" s="205">
        <f t="shared" si="4"/>
        <v>4535.4356201158644</v>
      </c>
      <c r="M12" s="205">
        <f t="shared" si="4"/>
        <v>4535.4356201158644</v>
      </c>
      <c r="N12" s="205">
        <f t="shared" si="4"/>
        <v>4535.4356201158644</v>
      </c>
      <c r="O12" s="205">
        <f t="shared" si="4"/>
        <v>4535.4356201158644</v>
      </c>
      <c r="P12" s="205">
        <f t="shared" si="4"/>
        <v>4535.4356201158644</v>
      </c>
      <c r="Q12" s="205">
        <f t="shared" si="4"/>
        <v>4535.4356201158644</v>
      </c>
      <c r="R12" s="205">
        <f t="shared" si="4"/>
        <v>4535.4356201158644</v>
      </c>
      <c r="S12" s="205">
        <f t="shared" si="4"/>
        <v>4535.4356201158644</v>
      </c>
      <c r="T12" s="205">
        <f t="shared" si="4"/>
        <v>4656.207911241474</v>
      </c>
      <c r="U12" s="205">
        <f t="shared" si="4"/>
        <v>4656.207911241474</v>
      </c>
      <c r="V12" s="205">
        <f t="shared" si="4"/>
        <v>4656.207911241474</v>
      </c>
      <c r="W12" s="205">
        <f t="shared" si="4"/>
        <v>4656.207911241474</v>
      </c>
      <c r="X12" s="28">
        <f t="shared" si="4"/>
        <v>4656.207911241474</v>
      </c>
      <c r="Y12" s="28">
        <f t="shared" si="4"/>
        <v>4656.207911241474</v>
      </c>
      <c r="Z12" s="28">
        <f t="shared" si="4"/>
        <v>4656.207911241474</v>
      </c>
      <c r="AA12" s="28">
        <f t="shared" si="4"/>
        <v>4656.207911241474</v>
      </c>
      <c r="AB12" s="28">
        <f t="shared" si="4"/>
        <v>4656.207911241474</v>
      </c>
      <c r="AC12" s="28">
        <f t="shared" si="4"/>
        <v>4656.207911241474</v>
      </c>
      <c r="AD12" s="28">
        <f t="shared" si="4"/>
        <v>4656.207911241474</v>
      </c>
      <c r="AE12" s="28">
        <f t="shared" si="4"/>
        <v>4656.207911241474</v>
      </c>
      <c r="AF12" s="28">
        <f t="shared" si="4"/>
        <v>4656.207911241474</v>
      </c>
      <c r="AG12" s="28">
        <f t="shared" si="4"/>
        <v>4656.207911241474</v>
      </c>
      <c r="AH12" s="28">
        <f t="shared" si="4"/>
        <v>4656.207911241474</v>
      </c>
      <c r="AI12" s="28">
        <f t="shared" si="4"/>
        <v>8834.158771241473</v>
      </c>
      <c r="AJ12" s="28">
        <f t="shared" si="4"/>
        <v>8834.158771241473</v>
      </c>
      <c r="AK12" s="28">
        <f t="shared" si="4"/>
        <v>8834.158771241473</v>
      </c>
      <c r="AL12" s="28">
        <f t="shared" si="4"/>
        <v>8834.158771241473</v>
      </c>
      <c r="AM12" s="414">
        <f>AL4/($C4-AL11)+AL12+AM4</f>
        <v>14930.514771241473</v>
      </c>
    </row>
    <row r="13" spans="1:39" ht="18" customHeight="1">
      <c r="B13" s="249" t="str">
        <f t="shared" ref="B13:C16" si="5">B5</f>
        <v>2.  DEMAIS OBRAS</v>
      </c>
      <c r="C13" s="79">
        <f t="shared" si="5"/>
        <v>35</v>
      </c>
      <c r="D13" s="27">
        <f t="shared" si="3"/>
        <v>54024.36645097319</v>
      </c>
      <c r="E13" s="205"/>
      <c r="F13" s="205">
        <f>$E5/($C5-E11)</f>
        <v>457.16346513154042</v>
      </c>
      <c r="G13" s="205">
        <f>F5/($C5-F11)+F13</f>
        <v>1376.7661533571704</v>
      </c>
      <c r="H13" s="205">
        <f t="shared" ref="H13:AL13" si="6">G5/($C5-G11)+G13</f>
        <v>1376.7661533571704</v>
      </c>
      <c r="I13" s="205">
        <f t="shared" si="6"/>
        <v>1376.7661533571704</v>
      </c>
      <c r="J13" s="205">
        <f t="shared" si="6"/>
        <v>1376.7661533571704</v>
      </c>
      <c r="K13" s="205">
        <f t="shared" si="6"/>
        <v>1376.7661533571704</v>
      </c>
      <c r="L13" s="205">
        <f t="shared" si="6"/>
        <v>1376.7661533571704</v>
      </c>
      <c r="M13" s="205">
        <f t="shared" si="6"/>
        <v>1376.7661533571704</v>
      </c>
      <c r="N13" s="205">
        <f t="shared" si="6"/>
        <v>1376.7661533571704</v>
      </c>
      <c r="O13" s="205">
        <f t="shared" si="6"/>
        <v>1376.7661533571704</v>
      </c>
      <c r="P13" s="205">
        <f t="shared" si="6"/>
        <v>1376.7661533571704</v>
      </c>
      <c r="Q13" s="205">
        <f t="shared" si="6"/>
        <v>1376.7661533571704</v>
      </c>
      <c r="R13" s="205">
        <f t="shared" si="6"/>
        <v>1376.7661533571704</v>
      </c>
      <c r="S13" s="205">
        <f t="shared" si="6"/>
        <v>1376.7661533571704</v>
      </c>
      <c r="T13" s="205">
        <f t="shared" si="6"/>
        <v>1376.7661533571704</v>
      </c>
      <c r="U13" s="205">
        <f t="shared" si="6"/>
        <v>1376.7661533571704</v>
      </c>
      <c r="V13" s="205">
        <f t="shared" si="6"/>
        <v>1828.6505936380038</v>
      </c>
      <c r="W13" s="205">
        <f t="shared" si="6"/>
        <v>1828.6505936380038</v>
      </c>
      <c r="X13" s="205">
        <f t="shared" si="6"/>
        <v>1828.6505936380038</v>
      </c>
      <c r="Y13" s="205">
        <f t="shared" si="6"/>
        <v>1828.6505936380038</v>
      </c>
      <c r="Z13" s="205">
        <f t="shared" si="6"/>
        <v>1828.6505936380038</v>
      </c>
      <c r="AA13" s="205">
        <f t="shared" si="6"/>
        <v>1828.6505936380038</v>
      </c>
      <c r="AB13" s="205">
        <f t="shared" si="6"/>
        <v>1828.6505936380038</v>
      </c>
      <c r="AC13" s="205">
        <f t="shared" si="6"/>
        <v>1828.6505936380038</v>
      </c>
      <c r="AD13" s="205">
        <f t="shared" si="6"/>
        <v>1828.6505936380038</v>
      </c>
      <c r="AE13" s="205">
        <f t="shared" si="6"/>
        <v>1828.6505936380038</v>
      </c>
      <c r="AF13" s="205">
        <f t="shared" si="6"/>
        <v>1828.6505936380038</v>
      </c>
      <c r="AG13" s="205">
        <f t="shared" si="6"/>
        <v>1828.6505936380038</v>
      </c>
      <c r="AH13" s="205">
        <f t="shared" si="6"/>
        <v>1828.6505936380038</v>
      </c>
      <c r="AI13" s="205">
        <f t="shared" si="6"/>
        <v>1828.6505936380038</v>
      </c>
      <c r="AJ13" s="205">
        <f t="shared" si="6"/>
        <v>1828.6505936380038</v>
      </c>
      <c r="AK13" s="205">
        <f t="shared" si="6"/>
        <v>1828.6505936380038</v>
      </c>
      <c r="AL13" s="205">
        <f t="shared" si="6"/>
        <v>1828.6505936380038</v>
      </c>
      <c r="AM13" s="205">
        <f>AL5/($C5-AL11)+AL13+AM5</f>
        <v>1828.6505936380038</v>
      </c>
    </row>
    <row r="14" spans="1:39" ht="18" customHeight="1">
      <c r="B14" s="24" t="str">
        <f t="shared" si="5"/>
        <v xml:space="preserve">3. CONSERVAÇÃO ESPECIAL - PAVIMENTO ASFÁLTICO </v>
      </c>
      <c r="C14" s="79">
        <f t="shared" si="5"/>
        <v>8</v>
      </c>
      <c r="D14" s="27">
        <f t="shared" si="3"/>
        <v>4489.951709317631</v>
      </c>
      <c r="E14" s="205">
        <f>E63</f>
        <v>103.94892923926842</v>
      </c>
      <c r="F14" s="205">
        <f t="shared" ref="F14:AM14" si="7">F63</f>
        <v>384.57091107162034</v>
      </c>
      <c r="G14" s="205">
        <f t="shared" si="7"/>
        <v>561.24396366470387</v>
      </c>
      <c r="H14" s="205">
        <f t="shared" si="7"/>
        <v>561.24396366470387</v>
      </c>
      <c r="I14" s="205">
        <f t="shared" si="7"/>
        <v>561.24396366470387</v>
      </c>
      <c r="J14" s="205">
        <f>J63</f>
        <v>561.24396366470387</v>
      </c>
      <c r="K14" s="205">
        <f>K63</f>
        <v>561.24396366470387</v>
      </c>
      <c r="L14" s="205">
        <f t="shared" si="7"/>
        <v>561.24396366470387</v>
      </c>
      <c r="M14" s="205">
        <f t="shared" si="7"/>
        <v>457.2950344254354</v>
      </c>
      <c r="N14" s="205">
        <f t="shared" si="7"/>
        <v>176.6730525930835</v>
      </c>
      <c r="O14" s="205">
        <f t="shared" si="7"/>
        <v>0</v>
      </c>
      <c r="P14" s="205">
        <f t="shared" si="7"/>
        <v>0</v>
      </c>
      <c r="Q14" s="205">
        <f t="shared" si="7"/>
        <v>0</v>
      </c>
      <c r="R14" s="205">
        <f t="shared" si="7"/>
        <v>0</v>
      </c>
      <c r="S14" s="205">
        <f t="shared" si="7"/>
        <v>0</v>
      </c>
      <c r="T14" s="205">
        <f t="shared" si="7"/>
        <v>0</v>
      </c>
      <c r="U14" s="205">
        <f t="shared" si="7"/>
        <v>0</v>
      </c>
      <c r="V14" s="205">
        <f t="shared" si="7"/>
        <v>0</v>
      </c>
      <c r="W14" s="205">
        <f t="shared" si="7"/>
        <v>0</v>
      </c>
      <c r="X14" s="205">
        <f t="shared" si="7"/>
        <v>0</v>
      </c>
      <c r="Y14" s="205">
        <f t="shared" si="7"/>
        <v>0</v>
      </c>
      <c r="Z14" s="205">
        <f t="shared" si="7"/>
        <v>0</v>
      </c>
      <c r="AA14" s="205">
        <f t="shared" si="7"/>
        <v>0</v>
      </c>
      <c r="AB14" s="205">
        <f t="shared" si="7"/>
        <v>0</v>
      </c>
      <c r="AC14" s="205">
        <f t="shared" si="7"/>
        <v>0</v>
      </c>
      <c r="AD14" s="205">
        <f t="shared" si="7"/>
        <v>0</v>
      </c>
      <c r="AE14" s="205">
        <f t="shared" si="7"/>
        <v>0</v>
      </c>
      <c r="AF14" s="205">
        <f t="shared" si="7"/>
        <v>0</v>
      </c>
      <c r="AG14" s="205">
        <f t="shared" si="7"/>
        <v>0</v>
      </c>
      <c r="AH14" s="205">
        <f t="shared" si="7"/>
        <v>0</v>
      </c>
      <c r="AI14" s="205">
        <f t="shared" si="7"/>
        <v>0</v>
      </c>
      <c r="AJ14" s="205">
        <f t="shared" si="7"/>
        <v>0</v>
      </c>
      <c r="AK14" s="205">
        <f t="shared" si="7"/>
        <v>0</v>
      </c>
      <c r="AL14" s="205">
        <f t="shared" si="7"/>
        <v>0</v>
      </c>
      <c r="AM14" s="205">
        <f t="shared" si="7"/>
        <v>0</v>
      </c>
    </row>
    <row r="15" spans="1:39" ht="18" customHeight="1">
      <c r="B15" s="24" t="str">
        <f t="shared" si="5"/>
        <v>4.  EQUIPAMENTOS &amp; SISTEMAS DE CONTROLE E VEÍCULOS</v>
      </c>
      <c r="C15" s="79">
        <f t="shared" si="5"/>
        <v>5</v>
      </c>
      <c r="D15" s="27">
        <f t="shared" si="3"/>
        <v>77837.26102849649</v>
      </c>
      <c r="E15" s="205">
        <f>E101</f>
        <v>991.95956445079787</v>
      </c>
      <c r="F15" s="205">
        <f t="shared" ref="F15:AL15" si="8">F101</f>
        <v>2523.7935311496562</v>
      </c>
      <c r="G15" s="205">
        <f t="shared" si="8"/>
        <v>3228.3379929799821</v>
      </c>
      <c r="H15" s="205">
        <f t="shared" si="8"/>
        <v>3429.7747645347481</v>
      </c>
      <c r="I15" s="205">
        <f t="shared" si="8"/>
        <v>3480.5755862672477</v>
      </c>
      <c r="J15" s="205">
        <f t="shared" si="8"/>
        <v>2554.1465463764498</v>
      </c>
      <c r="K15" s="205">
        <f t="shared" si="8"/>
        <v>1153.5391329088418</v>
      </c>
      <c r="L15" s="205">
        <f t="shared" si="8"/>
        <v>560.47808950976571</v>
      </c>
      <c r="M15" s="205">
        <f t="shared" si="8"/>
        <v>524.08122345949232</v>
      </c>
      <c r="N15" s="205">
        <f t="shared" si="8"/>
        <v>656.53686613773448</v>
      </c>
      <c r="O15" s="205">
        <f t="shared" si="8"/>
        <v>924.80791517148441</v>
      </c>
      <c r="P15" s="205">
        <f t="shared" si="8"/>
        <v>1077.4130966277344</v>
      </c>
      <c r="Q15" s="205">
        <f t="shared" si="8"/>
        <v>1030.4652771027343</v>
      </c>
      <c r="R15" s="205">
        <f t="shared" si="8"/>
        <v>2104.148287376172</v>
      </c>
      <c r="S15" s="205">
        <f t="shared" si="8"/>
        <v>3227.5981798371095</v>
      </c>
      <c r="T15" s="205">
        <f t="shared" si="8"/>
        <v>3188.4737851496093</v>
      </c>
      <c r="U15" s="205">
        <f t="shared" si="8"/>
        <v>3256.8304867004395</v>
      </c>
      <c r="V15" s="205">
        <f t="shared" si="8"/>
        <v>3382.3251851262694</v>
      </c>
      <c r="W15" s="205">
        <f t="shared" si="8"/>
        <v>2326.858733759082</v>
      </c>
      <c r="X15" s="205">
        <f t="shared" si="8"/>
        <v>1203.4088412981444</v>
      </c>
      <c r="Y15" s="205">
        <f t="shared" si="8"/>
        <v>1220.9081970793943</v>
      </c>
      <c r="Z15" s="205">
        <f t="shared" si="8"/>
        <v>1262.6194144348142</v>
      </c>
      <c r="AA15" s="205">
        <f t="shared" si="8"/>
        <v>1168.8779960089842</v>
      </c>
      <c r="AB15" s="205">
        <f t="shared" si="8"/>
        <v>2378.4510872785158</v>
      </c>
      <c r="AC15" s="205">
        <f t="shared" si="8"/>
        <v>3637.9940174542971</v>
      </c>
      <c r="AD15" s="205">
        <f t="shared" si="8"/>
        <v>3471.228881673047</v>
      </c>
      <c r="AE15" s="205">
        <f t="shared" si="8"/>
        <v>3204.3110880792974</v>
      </c>
      <c r="AF15" s="205">
        <f t="shared" si="8"/>
        <v>3204.0981080792976</v>
      </c>
      <c r="AG15" s="205">
        <f t="shared" si="8"/>
        <v>2144.8275249347657</v>
      </c>
      <c r="AH15" s="205">
        <f t="shared" si="8"/>
        <v>1050.1801839777345</v>
      </c>
      <c r="AI15" s="205">
        <f t="shared" si="8"/>
        <v>1500.7455188518666</v>
      </c>
      <c r="AJ15" s="205">
        <f t="shared" si="8"/>
        <v>1905.177472632249</v>
      </c>
      <c r="AK15" s="205">
        <f t="shared" si="8"/>
        <v>1838.2330937259987</v>
      </c>
      <c r="AL15" s="205">
        <f t="shared" si="8"/>
        <v>3390.743852227497</v>
      </c>
      <c r="AM15" s="205">
        <f>AM101</f>
        <v>5633.3115061352437</v>
      </c>
    </row>
    <row r="16" spans="1:39" ht="18" customHeight="1">
      <c r="B16" s="24" t="str">
        <f t="shared" si="5"/>
        <v>5. OUTROS (especificar)</v>
      </c>
      <c r="C16" s="79">
        <f t="shared" si="5"/>
        <v>35</v>
      </c>
      <c r="D16" s="27">
        <f>SUM(E16:AM16)</f>
        <v>1160.8910117804285</v>
      </c>
      <c r="E16" s="206"/>
      <c r="F16" s="205">
        <f>$E8/($C8-1)</f>
        <v>0</v>
      </c>
      <c r="G16" s="205">
        <f>F8/($C8-F11)+F16</f>
        <v>0</v>
      </c>
      <c r="H16" s="205">
        <f>G8/($C8-G11)+G16</f>
        <v>0</v>
      </c>
      <c r="I16" s="205">
        <f>H8/($C8-H11)+H16</f>
        <v>0</v>
      </c>
      <c r="J16" s="205">
        <f>I8/($C8-I11)+I16</f>
        <v>0</v>
      </c>
      <c r="K16" s="205">
        <f t="shared" ref="K16:AL16" si="9">J8/($C8-J11)+J16</f>
        <v>0</v>
      </c>
      <c r="L16" s="205">
        <f t="shared" si="9"/>
        <v>0</v>
      </c>
      <c r="M16" s="205">
        <f t="shared" si="9"/>
        <v>0</v>
      </c>
      <c r="N16" s="205">
        <f t="shared" si="9"/>
        <v>0</v>
      </c>
      <c r="O16" s="205">
        <f t="shared" si="9"/>
        <v>0</v>
      </c>
      <c r="P16" s="205">
        <f t="shared" si="9"/>
        <v>0</v>
      </c>
      <c r="Q16" s="205">
        <f t="shared" si="9"/>
        <v>0</v>
      </c>
      <c r="R16" s="205">
        <f t="shared" si="9"/>
        <v>0</v>
      </c>
      <c r="S16" s="205">
        <f t="shared" si="9"/>
        <v>0</v>
      </c>
      <c r="T16" s="205">
        <f t="shared" si="9"/>
        <v>3.7352254987302103</v>
      </c>
      <c r="U16" s="205">
        <f t="shared" si="9"/>
        <v>3.7352254987302103</v>
      </c>
      <c r="V16" s="205">
        <f t="shared" si="9"/>
        <v>17.711032930096227</v>
      </c>
      <c r="W16" s="205">
        <f t="shared" si="9"/>
        <v>17.711032930096227</v>
      </c>
      <c r="X16" s="205">
        <f t="shared" si="9"/>
        <v>17.711032930096227</v>
      </c>
      <c r="Y16" s="205">
        <f t="shared" si="9"/>
        <v>17.711032930096227</v>
      </c>
      <c r="Z16" s="205">
        <f t="shared" si="9"/>
        <v>17.711032930096227</v>
      </c>
      <c r="AA16" s="205">
        <f t="shared" si="9"/>
        <v>17.711032930096227</v>
      </c>
      <c r="AB16" s="205">
        <f t="shared" si="9"/>
        <v>17.711032930096227</v>
      </c>
      <c r="AC16" s="205">
        <f t="shared" si="9"/>
        <v>17.711032930096227</v>
      </c>
      <c r="AD16" s="205">
        <f t="shared" si="9"/>
        <v>17.711032930096227</v>
      </c>
      <c r="AE16" s="205">
        <f t="shared" si="9"/>
        <v>17.711032930096227</v>
      </c>
      <c r="AF16" s="205">
        <f t="shared" si="9"/>
        <v>17.711032930096227</v>
      </c>
      <c r="AG16" s="205">
        <f t="shared" si="9"/>
        <v>17.711032930096227</v>
      </c>
      <c r="AH16" s="205">
        <f t="shared" si="9"/>
        <v>17.711032930096227</v>
      </c>
      <c r="AI16" s="205">
        <f t="shared" si="9"/>
        <v>146.92600798164244</v>
      </c>
      <c r="AJ16" s="205">
        <f t="shared" si="9"/>
        <v>146.92600798164244</v>
      </c>
      <c r="AK16" s="205">
        <f t="shared" si="9"/>
        <v>146.92600798164244</v>
      </c>
      <c r="AL16" s="205">
        <f t="shared" si="9"/>
        <v>146.92600798164244</v>
      </c>
      <c r="AM16" s="414">
        <f>AL8/($C8-AL11)+AL16+AM8</f>
        <v>335.47310076514736</v>
      </c>
    </row>
    <row r="17" spans="2:41" ht="18" customHeight="1">
      <c r="B17" s="911" t="s">
        <v>4</v>
      </c>
      <c r="C17" s="912"/>
      <c r="D17" s="35">
        <f t="shared" si="3"/>
        <v>318249.53761307994</v>
      </c>
      <c r="E17" s="41">
        <f t="shared" ref="E17:AM17" si="10">SUM(E12:E16)</f>
        <v>1095.9084936900663</v>
      </c>
      <c r="F17" s="41">
        <f t="shared" si="10"/>
        <v>5031.6637335292871</v>
      </c>
      <c r="G17" s="41">
        <f t="shared" si="10"/>
        <v>9701.7837301177206</v>
      </c>
      <c r="H17" s="41">
        <f t="shared" si="10"/>
        <v>9903.2205016724874</v>
      </c>
      <c r="I17" s="41">
        <f t="shared" si="10"/>
        <v>9954.0213234049861</v>
      </c>
      <c r="J17" s="41">
        <f t="shared" si="10"/>
        <v>9027.5922835141882</v>
      </c>
      <c r="K17" s="41">
        <f t="shared" si="10"/>
        <v>7626.98487004658</v>
      </c>
      <c r="L17" s="41">
        <f t="shared" si="10"/>
        <v>7033.923826647504</v>
      </c>
      <c r="M17" s="41">
        <f t="shared" si="10"/>
        <v>6893.5780313579617</v>
      </c>
      <c r="N17" s="41">
        <f t="shared" si="10"/>
        <v>6745.411692203852</v>
      </c>
      <c r="O17" s="41">
        <f t="shared" si="10"/>
        <v>6837.009688644519</v>
      </c>
      <c r="P17" s="41">
        <f t="shared" si="10"/>
        <v>6989.6148701007687</v>
      </c>
      <c r="Q17" s="41">
        <f t="shared" si="10"/>
        <v>6942.6670505757684</v>
      </c>
      <c r="R17" s="41">
        <f t="shared" si="10"/>
        <v>8016.3500608492068</v>
      </c>
      <c r="S17" s="41">
        <f t="shared" si="10"/>
        <v>9139.7999533101429</v>
      </c>
      <c r="T17" s="41">
        <f t="shared" si="10"/>
        <v>9225.1830752469832</v>
      </c>
      <c r="U17" s="41">
        <f t="shared" si="10"/>
        <v>9293.5397767978138</v>
      </c>
      <c r="V17" s="41">
        <f t="shared" si="10"/>
        <v>9884.8947229358419</v>
      </c>
      <c r="W17" s="41">
        <f t="shared" si="10"/>
        <v>8829.428271568655</v>
      </c>
      <c r="X17" s="41">
        <f t="shared" si="10"/>
        <v>7705.978379107718</v>
      </c>
      <c r="Y17" s="41">
        <f t="shared" si="10"/>
        <v>7723.4777348889675</v>
      </c>
      <c r="Z17" s="41">
        <f t="shared" si="10"/>
        <v>7765.1889522443871</v>
      </c>
      <c r="AA17" s="41">
        <f t="shared" si="10"/>
        <v>7671.4475338185575</v>
      </c>
      <c r="AB17" s="41">
        <f t="shared" si="10"/>
        <v>8881.0206250880892</v>
      </c>
      <c r="AC17" s="41">
        <f t="shared" si="10"/>
        <v>10140.563555263871</v>
      </c>
      <c r="AD17" s="41">
        <f t="shared" si="10"/>
        <v>9973.7984194826204</v>
      </c>
      <c r="AE17" s="41">
        <f t="shared" si="10"/>
        <v>9706.8806258888708</v>
      </c>
      <c r="AF17" s="41">
        <f t="shared" si="10"/>
        <v>9706.6676458888705</v>
      </c>
      <c r="AG17" s="41">
        <f t="shared" si="10"/>
        <v>8647.3970627443396</v>
      </c>
      <c r="AH17" s="41">
        <f t="shared" si="10"/>
        <v>7552.7497217873079</v>
      </c>
      <c r="AI17" s="41">
        <f t="shared" si="10"/>
        <v>12310.480891712987</v>
      </c>
      <c r="AJ17" s="41">
        <f t="shared" si="10"/>
        <v>12714.912845493369</v>
      </c>
      <c r="AK17" s="41">
        <f t="shared" si="10"/>
        <v>12647.968466587119</v>
      </c>
      <c r="AL17" s="41">
        <f t="shared" si="10"/>
        <v>14200.479225088617</v>
      </c>
      <c r="AM17" s="41">
        <f t="shared" si="10"/>
        <v>22727.949971779868</v>
      </c>
    </row>
    <row r="18" spans="2:41">
      <c r="D18" s="80"/>
    </row>
    <row r="19" spans="2:41">
      <c r="B19" s="1" t="s">
        <v>375</v>
      </c>
      <c r="D19" s="80">
        <f>D9-D17</f>
        <v>0</v>
      </c>
    </row>
    <row r="20" spans="2:41">
      <c r="B20" s="1" t="s">
        <v>376</v>
      </c>
    </row>
    <row r="21" spans="2:41">
      <c r="B21" s="160" t="s">
        <v>377</v>
      </c>
    </row>
    <row r="22" spans="2:41">
      <c r="B22" s="1" t="s">
        <v>379</v>
      </c>
    </row>
    <row r="23" spans="2:41">
      <c r="B23" s="1" t="s">
        <v>378</v>
      </c>
    </row>
    <row r="25" spans="2:41">
      <c r="B25" s="81" t="s">
        <v>327</v>
      </c>
      <c r="C25" s="85">
        <v>0.03</v>
      </c>
    </row>
    <row r="27" spans="2:41">
      <c r="B27" s="94"/>
      <c r="C27" s="93"/>
      <c r="D27" s="92" t="str">
        <f>B14</f>
        <v xml:space="preserve">3. CONSERVAÇÃO ESPECIAL - PAVIMENTO ASFÁLTICO </v>
      </c>
      <c r="E27" s="88">
        <f>E3</f>
        <v>1</v>
      </c>
      <c r="F27" s="88">
        <f t="shared" ref="F27:AM27" si="11">F3</f>
        <v>2</v>
      </c>
      <c r="G27" s="88">
        <f t="shared" si="11"/>
        <v>3</v>
      </c>
      <c r="H27" s="88">
        <f t="shared" si="11"/>
        <v>4</v>
      </c>
      <c r="I27" s="88">
        <f t="shared" si="11"/>
        <v>5</v>
      </c>
      <c r="J27" s="88">
        <f t="shared" si="11"/>
        <v>6</v>
      </c>
      <c r="K27" s="88">
        <f t="shared" si="11"/>
        <v>7</v>
      </c>
      <c r="L27" s="88">
        <f t="shared" si="11"/>
        <v>8</v>
      </c>
      <c r="M27" s="88">
        <f t="shared" si="11"/>
        <v>9</v>
      </c>
      <c r="N27" s="88">
        <f t="shared" si="11"/>
        <v>10</v>
      </c>
      <c r="O27" s="88">
        <f t="shared" si="11"/>
        <v>11</v>
      </c>
      <c r="P27" s="88">
        <f t="shared" si="11"/>
        <v>12</v>
      </c>
      <c r="Q27" s="88">
        <f t="shared" si="11"/>
        <v>13</v>
      </c>
      <c r="R27" s="88">
        <f t="shared" si="11"/>
        <v>14</v>
      </c>
      <c r="S27" s="88">
        <f t="shared" si="11"/>
        <v>15</v>
      </c>
      <c r="T27" s="88">
        <f t="shared" si="11"/>
        <v>16</v>
      </c>
      <c r="U27" s="88">
        <f t="shared" si="11"/>
        <v>17</v>
      </c>
      <c r="V27" s="88">
        <f t="shared" si="11"/>
        <v>18</v>
      </c>
      <c r="W27" s="88">
        <f t="shared" si="11"/>
        <v>19</v>
      </c>
      <c r="X27" s="88">
        <f t="shared" si="11"/>
        <v>20</v>
      </c>
      <c r="Y27" s="88">
        <f t="shared" si="11"/>
        <v>21</v>
      </c>
      <c r="Z27" s="88">
        <f t="shared" si="11"/>
        <v>22</v>
      </c>
      <c r="AA27" s="88">
        <f t="shared" si="11"/>
        <v>23</v>
      </c>
      <c r="AB27" s="88">
        <f t="shared" si="11"/>
        <v>24</v>
      </c>
      <c r="AC27" s="88">
        <f t="shared" si="11"/>
        <v>25</v>
      </c>
      <c r="AD27" s="88">
        <f t="shared" si="11"/>
        <v>26</v>
      </c>
      <c r="AE27" s="88">
        <f t="shared" si="11"/>
        <v>27</v>
      </c>
      <c r="AF27" s="88">
        <f t="shared" si="11"/>
        <v>28</v>
      </c>
      <c r="AG27" s="88">
        <f t="shared" si="11"/>
        <v>29</v>
      </c>
      <c r="AH27" s="88">
        <f t="shared" si="11"/>
        <v>30</v>
      </c>
      <c r="AI27" s="88">
        <f t="shared" si="11"/>
        <v>31</v>
      </c>
      <c r="AJ27" s="88">
        <f t="shared" si="11"/>
        <v>32</v>
      </c>
      <c r="AK27" s="88">
        <f t="shared" si="11"/>
        <v>33</v>
      </c>
      <c r="AL27" s="88">
        <f t="shared" si="11"/>
        <v>34</v>
      </c>
      <c r="AM27" s="88">
        <f t="shared" si="11"/>
        <v>35</v>
      </c>
    </row>
    <row r="28" spans="2:41">
      <c r="C28" s="87">
        <f t="array" ref="C28:C62">TRANSPOSE($E$27:$AM$27)</f>
        <v>1</v>
      </c>
      <c r="D28" s="91">
        <f t="array" ref="D28:D62">TRANSPOSE($E$6:$AM$6)</f>
        <v>1663.1828678282948</v>
      </c>
      <c r="E28" s="80">
        <f>$D28/$C$6/2</f>
        <v>103.94892923926842</v>
      </c>
      <c r="F28" s="80">
        <f>$D28/$C$6</f>
        <v>207.89785847853685</v>
      </c>
      <c r="G28" s="80">
        <f t="shared" ref="G28:L28" si="12">F28</f>
        <v>207.89785847853685</v>
      </c>
      <c r="H28" s="80">
        <f t="shared" si="12"/>
        <v>207.89785847853685</v>
      </c>
      <c r="I28" s="80">
        <f t="shared" si="12"/>
        <v>207.89785847853685</v>
      </c>
      <c r="J28" s="80">
        <f t="shared" si="12"/>
        <v>207.89785847853685</v>
      </c>
      <c r="K28" s="80">
        <f t="shared" si="12"/>
        <v>207.89785847853685</v>
      </c>
      <c r="L28" s="80">
        <f t="shared" si="12"/>
        <v>207.89785847853685</v>
      </c>
      <c r="M28" s="80">
        <f>$D28/$C$6/2</f>
        <v>103.94892923926842</v>
      </c>
      <c r="N28" s="90"/>
      <c r="O28" s="90"/>
      <c r="P28" s="90"/>
      <c r="Q28" s="90"/>
      <c r="R28" s="90"/>
      <c r="S28" s="90"/>
      <c r="T28" s="90"/>
      <c r="U28" s="90"/>
      <c r="V28" s="90"/>
      <c r="W28" s="90"/>
      <c r="X28" s="90"/>
      <c r="Y28" s="90"/>
      <c r="Z28" s="90"/>
      <c r="AA28" s="90"/>
      <c r="AB28" s="90"/>
      <c r="AC28" s="90"/>
      <c r="AD28" s="90"/>
      <c r="AE28" s="90"/>
      <c r="AF28" s="90"/>
      <c r="AG28" s="90"/>
      <c r="AH28" s="90"/>
      <c r="AI28" s="90"/>
      <c r="AJ28" s="90"/>
      <c r="AK28" s="90"/>
      <c r="AL28" s="90"/>
      <c r="AM28" s="90"/>
      <c r="AN28" s="78">
        <f t="shared" ref="AN28:AN62" si="13">SUM(E28:AM28)</f>
        <v>1663.1828678282948</v>
      </c>
      <c r="AO28" s="68" t="str">
        <f>IF(ROUND(AN28-D28,0)=0,"ok",AN28-D28)</f>
        <v>ok</v>
      </c>
    </row>
    <row r="29" spans="2:41">
      <c r="C29" s="87">
        <v>2</v>
      </c>
      <c r="D29" s="91">
        <v>2826.768841489336</v>
      </c>
      <c r="E29" s="90"/>
      <c r="F29" s="80">
        <f>$D29/$C$6/2</f>
        <v>176.6730525930835</v>
      </c>
      <c r="G29" s="80">
        <f>$D29/$C$6</f>
        <v>353.34610518616699</v>
      </c>
      <c r="H29" s="80">
        <f t="shared" ref="H29:M29" si="14">G29</f>
        <v>353.34610518616699</v>
      </c>
      <c r="I29" s="80">
        <f t="shared" si="14"/>
        <v>353.34610518616699</v>
      </c>
      <c r="J29" s="80">
        <f t="shared" si="14"/>
        <v>353.34610518616699</v>
      </c>
      <c r="K29" s="80">
        <f t="shared" si="14"/>
        <v>353.34610518616699</v>
      </c>
      <c r="L29" s="80">
        <f t="shared" si="14"/>
        <v>353.34610518616699</v>
      </c>
      <c r="M29" s="80">
        <f t="shared" si="14"/>
        <v>353.34610518616699</v>
      </c>
      <c r="N29" s="80">
        <f>$D29/$C$6/2</f>
        <v>176.6730525930835</v>
      </c>
      <c r="O29" s="90"/>
      <c r="P29" s="90"/>
      <c r="Q29" s="90"/>
      <c r="R29" s="90"/>
      <c r="S29" s="90"/>
      <c r="T29" s="90"/>
      <c r="U29" s="90"/>
      <c r="V29" s="90"/>
      <c r="W29" s="90"/>
      <c r="X29" s="90"/>
      <c r="Y29" s="90"/>
      <c r="Z29" s="90"/>
      <c r="AA29" s="90"/>
      <c r="AB29" s="90"/>
      <c r="AC29" s="90"/>
      <c r="AD29" s="90"/>
      <c r="AE29" s="90"/>
      <c r="AF29" s="90"/>
      <c r="AG29" s="90"/>
      <c r="AH29" s="90"/>
      <c r="AI29" s="90"/>
      <c r="AJ29" s="90"/>
      <c r="AK29" s="90"/>
      <c r="AL29" s="90"/>
      <c r="AM29" s="90"/>
      <c r="AN29" s="78">
        <f t="shared" si="13"/>
        <v>2826.768841489336</v>
      </c>
      <c r="AO29" s="68" t="str">
        <f t="shared" ref="AO29:AO62" si="15">IF(ROUND(AN29-D29,0)=0,"ok",AN29-D29)</f>
        <v>ok</v>
      </c>
    </row>
    <row r="30" spans="2:41">
      <c r="C30" s="87">
        <v>3</v>
      </c>
      <c r="D30" s="91">
        <v>0</v>
      </c>
      <c r="E30" s="90"/>
      <c r="F30" s="90"/>
      <c r="G30" s="80">
        <f>$D30/$C$6/2</f>
        <v>0</v>
      </c>
      <c r="H30" s="80">
        <f>$D30/$C$6</f>
        <v>0</v>
      </c>
      <c r="I30" s="80">
        <f t="shared" ref="I30:N30" si="16">H30</f>
        <v>0</v>
      </c>
      <c r="J30" s="80">
        <f t="shared" si="16"/>
        <v>0</v>
      </c>
      <c r="K30" s="80">
        <f t="shared" si="16"/>
        <v>0</v>
      </c>
      <c r="L30" s="80">
        <f t="shared" si="16"/>
        <v>0</v>
      </c>
      <c r="M30" s="80">
        <f t="shared" si="16"/>
        <v>0</v>
      </c>
      <c r="N30" s="80">
        <f t="shared" si="16"/>
        <v>0</v>
      </c>
      <c r="O30" s="80">
        <f>$D30/$C$6/2</f>
        <v>0</v>
      </c>
      <c r="P30" s="90"/>
      <c r="Q30" s="90"/>
      <c r="R30" s="90"/>
      <c r="S30" s="90"/>
      <c r="T30" s="90"/>
      <c r="U30" s="90"/>
      <c r="V30" s="90"/>
      <c r="W30" s="90"/>
      <c r="X30" s="90"/>
      <c r="Y30" s="90"/>
      <c r="Z30" s="90"/>
      <c r="AA30" s="90"/>
      <c r="AB30" s="90"/>
      <c r="AC30" s="90"/>
      <c r="AD30" s="90"/>
      <c r="AE30" s="90"/>
      <c r="AF30" s="90"/>
      <c r="AG30" s="90"/>
      <c r="AH30" s="90"/>
      <c r="AI30" s="90"/>
      <c r="AJ30" s="90"/>
      <c r="AK30" s="90"/>
      <c r="AL30" s="90"/>
      <c r="AM30" s="90"/>
      <c r="AN30" s="78">
        <f t="shared" si="13"/>
        <v>0</v>
      </c>
      <c r="AO30" s="68" t="str">
        <f t="shared" si="15"/>
        <v>ok</v>
      </c>
    </row>
    <row r="31" spans="2:41">
      <c r="C31" s="87">
        <v>4</v>
      </c>
      <c r="D31" s="91">
        <v>0</v>
      </c>
      <c r="E31" s="90"/>
      <c r="F31" s="90"/>
      <c r="G31" s="90"/>
      <c r="H31" s="80">
        <f>$D31/$C$6/2</f>
        <v>0</v>
      </c>
      <c r="I31" s="80">
        <f>$D31/$C$6</f>
        <v>0</v>
      </c>
      <c r="J31" s="80">
        <f t="shared" ref="J31:O31" si="17">I31</f>
        <v>0</v>
      </c>
      <c r="K31" s="80">
        <f t="shared" si="17"/>
        <v>0</v>
      </c>
      <c r="L31" s="80">
        <f t="shared" si="17"/>
        <v>0</v>
      </c>
      <c r="M31" s="80">
        <f t="shared" si="17"/>
        <v>0</v>
      </c>
      <c r="N31" s="80">
        <f t="shared" si="17"/>
        <v>0</v>
      </c>
      <c r="O31" s="80">
        <f t="shared" si="17"/>
        <v>0</v>
      </c>
      <c r="P31" s="80">
        <f>$D31/$C$6/2</f>
        <v>0</v>
      </c>
      <c r="Q31" s="90"/>
      <c r="R31" s="90"/>
      <c r="S31" s="90"/>
      <c r="T31" s="90"/>
      <c r="U31" s="90"/>
      <c r="V31" s="90"/>
      <c r="W31" s="90"/>
      <c r="X31" s="90"/>
      <c r="Y31" s="90"/>
      <c r="Z31" s="90"/>
      <c r="AA31" s="90"/>
      <c r="AB31" s="90"/>
      <c r="AC31" s="90"/>
      <c r="AD31" s="90"/>
      <c r="AE31" s="90"/>
      <c r="AF31" s="90"/>
      <c r="AG31" s="90"/>
      <c r="AH31" s="90"/>
      <c r="AI31" s="90"/>
      <c r="AJ31" s="90"/>
      <c r="AK31" s="90"/>
      <c r="AL31" s="90"/>
      <c r="AM31" s="90"/>
      <c r="AN31" s="78">
        <f t="shared" si="13"/>
        <v>0</v>
      </c>
      <c r="AO31" s="68" t="str">
        <f t="shared" si="15"/>
        <v>ok</v>
      </c>
    </row>
    <row r="32" spans="2:41">
      <c r="C32" s="87">
        <v>5</v>
      </c>
      <c r="D32" s="91">
        <v>0</v>
      </c>
      <c r="E32" s="90"/>
      <c r="F32" s="90"/>
      <c r="G32" s="90"/>
      <c r="H32" s="90"/>
      <c r="I32" s="80">
        <f>$D32/$C$6/2</f>
        <v>0</v>
      </c>
      <c r="J32" s="80">
        <f>$D32/$C$6</f>
        <v>0</v>
      </c>
      <c r="K32" s="80">
        <f t="shared" ref="K32:P32" si="18">J32</f>
        <v>0</v>
      </c>
      <c r="L32" s="80">
        <f t="shared" si="18"/>
        <v>0</v>
      </c>
      <c r="M32" s="80">
        <f t="shared" si="18"/>
        <v>0</v>
      </c>
      <c r="N32" s="80">
        <f t="shared" si="18"/>
        <v>0</v>
      </c>
      <c r="O32" s="80">
        <f t="shared" si="18"/>
        <v>0</v>
      </c>
      <c r="P32" s="80">
        <f t="shared" si="18"/>
        <v>0</v>
      </c>
      <c r="Q32" s="80">
        <f>$D32/$C$6/2</f>
        <v>0</v>
      </c>
      <c r="R32" s="90"/>
      <c r="S32" s="90"/>
      <c r="T32" s="90"/>
      <c r="U32" s="90"/>
      <c r="V32" s="90"/>
      <c r="W32" s="90"/>
      <c r="X32" s="90"/>
      <c r="Y32" s="90"/>
      <c r="Z32" s="90"/>
      <c r="AA32" s="90"/>
      <c r="AB32" s="90"/>
      <c r="AC32" s="90"/>
      <c r="AD32" s="90"/>
      <c r="AE32" s="90"/>
      <c r="AF32" s="90"/>
      <c r="AG32" s="90"/>
      <c r="AH32" s="90"/>
      <c r="AI32" s="90"/>
      <c r="AJ32" s="90"/>
      <c r="AK32" s="90"/>
      <c r="AL32" s="90"/>
      <c r="AM32" s="90"/>
      <c r="AN32" s="78">
        <f t="shared" si="13"/>
        <v>0</v>
      </c>
      <c r="AO32" s="68" t="str">
        <f t="shared" si="15"/>
        <v>ok</v>
      </c>
    </row>
    <row r="33" spans="3:41">
      <c r="C33" s="87">
        <v>6</v>
      </c>
      <c r="D33" s="91">
        <v>0</v>
      </c>
      <c r="E33" s="90"/>
      <c r="F33" s="90"/>
      <c r="G33" s="90"/>
      <c r="H33" s="90"/>
      <c r="I33" s="90"/>
      <c r="J33" s="80">
        <f>$D33/$C$6/2</f>
        <v>0</v>
      </c>
      <c r="K33" s="80">
        <f>$D33/$C$6</f>
        <v>0</v>
      </c>
      <c r="L33" s="80">
        <f t="shared" ref="L33:Q33" si="19">K33</f>
        <v>0</v>
      </c>
      <c r="M33" s="80">
        <f t="shared" si="19"/>
        <v>0</v>
      </c>
      <c r="N33" s="80">
        <f t="shared" si="19"/>
        <v>0</v>
      </c>
      <c r="O33" s="80">
        <f t="shared" si="19"/>
        <v>0</v>
      </c>
      <c r="P33" s="80">
        <f t="shared" si="19"/>
        <v>0</v>
      </c>
      <c r="Q33" s="80">
        <f t="shared" si="19"/>
        <v>0</v>
      </c>
      <c r="R33" s="80">
        <f>$D33/$C$6/2</f>
        <v>0</v>
      </c>
      <c r="S33" s="90"/>
      <c r="T33" s="90"/>
      <c r="U33" s="90"/>
      <c r="V33" s="90"/>
      <c r="W33" s="90"/>
      <c r="X33" s="90"/>
      <c r="Y33" s="90"/>
      <c r="Z33" s="90"/>
      <c r="AA33" s="90"/>
      <c r="AB33" s="90"/>
      <c r="AC33" s="90"/>
      <c r="AD33" s="90"/>
      <c r="AE33" s="90"/>
      <c r="AF33" s="90"/>
      <c r="AG33" s="90"/>
      <c r="AH33" s="90"/>
      <c r="AI33" s="90"/>
      <c r="AJ33" s="90"/>
      <c r="AK33" s="90"/>
      <c r="AL33" s="90"/>
      <c r="AM33" s="90"/>
      <c r="AN33" s="78">
        <f t="shared" si="13"/>
        <v>0</v>
      </c>
      <c r="AO33" s="68" t="str">
        <f t="shared" si="15"/>
        <v>ok</v>
      </c>
    </row>
    <row r="34" spans="3:41">
      <c r="C34" s="87">
        <v>7</v>
      </c>
      <c r="D34" s="91">
        <v>0</v>
      </c>
      <c r="E34" s="90"/>
      <c r="F34" s="90"/>
      <c r="G34" s="90"/>
      <c r="H34" s="90"/>
      <c r="I34" s="90"/>
      <c r="J34" s="90"/>
      <c r="K34" s="80">
        <f>$D34/$C$6/2</f>
        <v>0</v>
      </c>
      <c r="L34" s="80">
        <f>$D34/$C$6</f>
        <v>0</v>
      </c>
      <c r="M34" s="80">
        <f t="shared" ref="M34:R34" si="20">L34</f>
        <v>0</v>
      </c>
      <c r="N34" s="80">
        <f t="shared" si="20"/>
        <v>0</v>
      </c>
      <c r="O34" s="80">
        <f t="shared" si="20"/>
        <v>0</v>
      </c>
      <c r="P34" s="80">
        <f t="shared" si="20"/>
        <v>0</v>
      </c>
      <c r="Q34" s="80">
        <f t="shared" si="20"/>
        <v>0</v>
      </c>
      <c r="R34" s="80">
        <f t="shared" si="20"/>
        <v>0</v>
      </c>
      <c r="S34" s="80">
        <f>$D34/$C$6/2</f>
        <v>0</v>
      </c>
      <c r="T34" s="90"/>
      <c r="U34" s="90"/>
      <c r="V34" s="90"/>
      <c r="W34" s="90"/>
      <c r="X34" s="90"/>
      <c r="Y34" s="90"/>
      <c r="Z34" s="90"/>
      <c r="AA34" s="90"/>
      <c r="AB34" s="90"/>
      <c r="AC34" s="90"/>
      <c r="AD34" s="90"/>
      <c r="AE34" s="90"/>
      <c r="AF34" s="90"/>
      <c r="AG34" s="90"/>
      <c r="AH34" s="90"/>
      <c r="AI34" s="90"/>
      <c r="AJ34" s="90"/>
      <c r="AK34" s="90"/>
      <c r="AL34" s="90"/>
      <c r="AM34" s="90"/>
      <c r="AN34" s="78">
        <f t="shared" si="13"/>
        <v>0</v>
      </c>
      <c r="AO34" s="68" t="str">
        <f t="shared" si="15"/>
        <v>ok</v>
      </c>
    </row>
    <row r="35" spans="3:41">
      <c r="C35" s="87">
        <v>8</v>
      </c>
      <c r="D35" s="91">
        <v>0</v>
      </c>
      <c r="E35" s="90"/>
      <c r="F35" s="90"/>
      <c r="G35" s="90"/>
      <c r="H35" s="90"/>
      <c r="I35" s="90"/>
      <c r="J35" s="90"/>
      <c r="K35" s="90"/>
      <c r="L35" s="80">
        <f>$D35/$C$6/2</f>
        <v>0</v>
      </c>
      <c r="M35" s="80">
        <f>$D35/$C$6</f>
        <v>0</v>
      </c>
      <c r="N35" s="80">
        <f t="shared" ref="N35:S35" si="21">M35</f>
        <v>0</v>
      </c>
      <c r="O35" s="80">
        <f t="shared" si="21"/>
        <v>0</v>
      </c>
      <c r="P35" s="80">
        <f t="shared" si="21"/>
        <v>0</v>
      </c>
      <c r="Q35" s="80">
        <f t="shared" si="21"/>
        <v>0</v>
      </c>
      <c r="R35" s="80">
        <f t="shared" si="21"/>
        <v>0</v>
      </c>
      <c r="S35" s="80">
        <f t="shared" si="21"/>
        <v>0</v>
      </c>
      <c r="T35" s="80">
        <f>$D35/$C$6/2</f>
        <v>0</v>
      </c>
      <c r="U35" s="90"/>
      <c r="V35" s="90"/>
      <c r="W35" s="90"/>
      <c r="X35" s="90"/>
      <c r="Y35" s="90"/>
      <c r="Z35" s="90"/>
      <c r="AA35" s="90"/>
      <c r="AB35" s="90"/>
      <c r="AC35" s="90"/>
      <c r="AD35" s="90"/>
      <c r="AE35" s="90"/>
      <c r="AF35" s="90"/>
      <c r="AG35" s="90"/>
      <c r="AH35" s="90"/>
      <c r="AI35" s="90"/>
      <c r="AJ35" s="90"/>
      <c r="AK35" s="90"/>
      <c r="AL35" s="90"/>
      <c r="AM35" s="90"/>
      <c r="AN35" s="78">
        <f t="shared" si="13"/>
        <v>0</v>
      </c>
      <c r="AO35" s="68" t="str">
        <f t="shared" si="15"/>
        <v>ok</v>
      </c>
    </row>
    <row r="36" spans="3:41">
      <c r="C36" s="87">
        <v>9</v>
      </c>
      <c r="D36" s="91">
        <v>0</v>
      </c>
      <c r="E36" s="90"/>
      <c r="F36" s="90"/>
      <c r="G36" s="90"/>
      <c r="H36" s="90"/>
      <c r="I36" s="90"/>
      <c r="J36" s="90"/>
      <c r="K36" s="90"/>
      <c r="L36" s="90"/>
      <c r="M36" s="80">
        <f>$D36/$C$6/2</f>
        <v>0</v>
      </c>
      <c r="N36" s="80">
        <f>$D36/$C$6</f>
        <v>0</v>
      </c>
      <c r="O36" s="80">
        <f t="shared" ref="O36:T36" si="22">N36</f>
        <v>0</v>
      </c>
      <c r="P36" s="80">
        <f t="shared" si="22"/>
        <v>0</v>
      </c>
      <c r="Q36" s="80">
        <f t="shared" si="22"/>
        <v>0</v>
      </c>
      <c r="R36" s="80">
        <f t="shared" si="22"/>
        <v>0</v>
      </c>
      <c r="S36" s="80">
        <f t="shared" si="22"/>
        <v>0</v>
      </c>
      <c r="T36" s="80">
        <f t="shared" si="22"/>
        <v>0</v>
      </c>
      <c r="U36" s="80">
        <f>$D36/$C$6/2</f>
        <v>0</v>
      </c>
      <c r="V36" s="90"/>
      <c r="W36" s="90"/>
      <c r="X36" s="90"/>
      <c r="Y36" s="90"/>
      <c r="Z36" s="90"/>
      <c r="AA36" s="90"/>
      <c r="AB36" s="90"/>
      <c r="AC36" s="90"/>
      <c r="AD36" s="90"/>
      <c r="AE36" s="90"/>
      <c r="AF36" s="90"/>
      <c r="AG36" s="90"/>
      <c r="AH36" s="90"/>
      <c r="AI36" s="90"/>
      <c r="AJ36" s="90"/>
      <c r="AK36" s="90"/>
      <c r="AL36" s="90"/>
      <c r="AM36" s="90"/>
      <c r="AN36" s="78">
        <f t="shared" si="13"/>
        <v>0</v>
      </c>
      <c r="AO36" s="68" t="str">
        <f t="shared" si="15"/>
        <v>ok</v>
      </c>
    </row>
    <row r="37" spans="3:41">
      <c r="C37" s="87">
        <v>10</v>
      </c>
      <c r="D37" s="91">
        <v>0</v>
      </c>
      <c r="E37" s="90"/>
      <c r="F37" s="90"/>
      <c r="G37" s="90"/>
      <c r="H37" s="90"/>
      <c r="I37" s="90"/>
      <c r="J37" s="90"/>
      <c r="K37" s="90"/>
      <c r="L37" s="90"/>
      <c r="M37" s="90"/>
      <c r="N37" s="80">
        <f>$D37/$C$6/2</f>
        <v>0</v>
      </c>
      <c r="O37" s="80">
        <f>$D37/$C$6</f>
        <v>0</v>
      </c>
      <c r="P37" s="80">
        <f t="shared" ref="P37:U37" si="23">O37</f>
        <v>0</v>
      </c>
      <c r="Q37" s="80">
        <f t="shared" si="23"/>
        <v>0</v>
      </c>
      <c r="R37" s="80">
        <f t="shared" si="23"/>
        <v>0</v>
      </c>
      <c r="S37" s="80">
        <f t="shared" si="23"/>
        <v>0</v>
      </c>
      <c r="T37" s="80">
        <f t="shared" si="23"/>
        <v>0</v>
      </c>
      <c r="U37" s="80">
        <f t="shared" si="23"/>
        <v>0</v>
      </c>
      <c r="V37" s="80">
        <f>$D37/$C$6/2</f>
        <v>0</v>
      </c>
      <c r="W37" s="90"/>
      <c r="X37" s="90"/>
      <c r="Y37" s="90"/>
      <c r="Z37" s="90"/>
      <c r="AA37" s="90"/>
      <c r="AB37" s="90"/>
      <c r="AC37" s="90"/>
      <c r="AD37" s="90"/>
      <c r="AE37" s="90"/>
      <c r="AF37" s="90"/>
      <c r="AG37" s="90"/>
      <c r="AH37" s="90"/>
      <c r="AI37" s="90"/>
      <c r="AJ37" s="90"/>
      <c r="AK37" s="90"/>
      <c r="AL37" s="90"/>
      <c r="AM37" s="90"/>
      <c r="AN37" s="78">
        <f t="shared" si="13"/>
        <v>0</v>
      </c>
      <c r="AO37" s="68" t="str">
        <f t="shared" si="15"/>
        <v>ok</v>
      </c>
    </row>
    <row r="38" spans="3:41">
      <c r="C38" s="87">
        <v>11</v>
      </c>
      <c r="D38" s="91">
        <v>0</v>
      </c>
      <c r="E38" s="90"/>
      <c r="F38" s="90"/>
      <c r="G38" s="90"/>
      <c r="H38" s="90"/>
      <c r="I38" s="90"/>
      <c r="J38" s="90"/>
      <c r="K38" s="90"/>
      <c r="L38" s="90"/>
      <c r="M38" s="90"/>
      <c r="N38" s="90"/>
      <c r="O38" s="80">
        <f>$D38/$C$6/2</f>
        <v>0</v>
      </c>
      <c r="P38" s="80">
        <f>$D38/$C$6</f>
        <v>0</v>
      </c>
      <c r="Q38" s="80">
        <f t="shared" ref="Q38:V38" si="24">P38</f>
        <v>0</v>
      </c>
      <c r="R38" s="80">
        <f t="shared" si="24"/>
        <v>0</v>
      </c>
      <c r="S38" s="80">
        <f t="shared" si="24"/>
        <v>0</v>
      </c>
      <c r="T38" s="80">
        <f t="shared" si="24"/>
        <v>0</v>
      </c>
      <c r="U38" s="80">
        <f t="shared" si="24"/>
        <v>0</v>
      </c>
      <c r="V38" s="80">
        <f t="shared" si="24"/>
        <v>0</v>
      </c>
      <c r="W38" s="80">
        <f>$D38/$C$6/2</f>
        <v>0</v>
      </c>
      <c r="X38" s="90"/>
      <c r="Y38" s="90"/>
      <c r="Z38" s="90"/>
      <c r="AA38" s="90"/>
      <c r="AB38" s="90"/>
      <c r="AC38" s="90"/>
      <c r="AD38" s="90"/>
      <c r="AE38" s="90"/>
      <c r="AF38" s="90"/>
      <c r="AG38" s="90"/>
      <c r="AH38" s="90"/>
      <c r="AI38" s="90"/>
      <c r="AJ38" s="90"/>
      <c r="AK38" s="90"/>
      <c r="AL38" s="90"/>
      <c r="AM38" s="90"/>
      <c r="AN38" s="78">
        <f t="shared" si="13"/>
        <v>0</v>
      </c>
      <c r="AO38" s="68" t="str">
        <f t="shared" si="15"/>
        <v>ok</v>
      </c>
    </row>
    <row r="39" spans="3:41">
      <c r="C39" s="87">
        <v>12</v>
      </c>
      <c r="D39" s="91">
        <v>0</v>
      </c>
      <c r="E39" s="90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80">
        <f>$D39/$C$6/2</f>
        <v>0</v>
      </c>
      <c r="Q39" s="80">
        <f>$D39/$C$6</f>
        <v>0</v>
      </c>
      <c r="R39" s="80">
        <f t="shared" ref="R39:W39" si="25">Q39</f>
        <v>0</v>
      </c>
      <c r="S39" s="80">
        <f t="shared" si="25"/>
        <v>0</v>
      </c>
      <c r="T39" s="80">
        <f t="shared" si="25"/>
        <v>0</v>
      </c>
      <c r="U39" s="80">
        <f t="shared" si="25"/>
        <v>0</v>
      </c>
      <c r="V39" s="80">
        <f t="shared" si="25"/>
        <v>0</v>
      </c>
      <c r="W39" s="80">
        <f t="shared" si="25"/>
        <v>0</v>
      </c>
      <c r="X39" s="80">
        <f>$D39/$C$6/2</f>
        <v>0</v>
      </c>
      <c r="Y39" s="90"/>
      <c r="Z39" s="90"/>
      <c r="AA39" s="90"/>
      <c r="AB39" s="90"/>
      <c r="AC39" s="90"/>
      <c r="AD39" s="90"/>
      <c r="AE39" s="90"/>
      <c r="AF39" s="90"/>
      <c r="AG39" s="90"/>
      <c r="AH39" s="90"/>
      <c r="AI39" s="90"/>
      <c r="AJ39" s="90"/>
      <c r="AK39" s="90"/>
      <c r="AL39" s="90"/>
      <c r="AM39" s="90"/>
      <c r="AN39" s="78">
        <f t="shared" si="13"/>
        <v>0</v>
      </c>
      <c r="AO39" s="68" t="str">
        <f t="shared" si="15"/>
        <v>ok</v>
      </c>
    </row>
    <row r="40" spans="3:41">
      <c r="C40" s="87">
        <v>13</v>
      </c>
      <c r="D40" s="91">
        <v>0</v>
      </c>
      <c r="E40" s="90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80">
        <f>$D40/$C$6/2</f>
        <v>0</v>
      </c>
      <c r="R40" s="80">
        <f>$D40/$C$6</f>
        <v>0</v>
      </c>
      <c r="S40" s="80">
        <f t="shared" ref="S40:X40" si="26">R40</f>
        <v>0</v>
      </c>
      <c r="T40" s="80">
        <f t="shared" si="26"/>
        <v>0</v>
      </c>
      <c r="U40" s="80">
        <f t="shared" si="26"/>
        <v>0</v>
      </c>
      <c r="V40" s="80">
        <f t="shared" si="26"/>
        <v>0</v>
      </c>
      <c r="W40" s="80">
        <f t="shared" si="26"/>
        <v>0</v>
      </c>
      <c r="X40" s="80">
        <f t="shared" si="26"/>
        <v>0</v>
      </c>
      <c r="Y40" s="80">
        <f>$D40/$C$6/2</f>
        <v>0</v>
      </c>
      <c r="Z40" s="90"/>
      <c r="AA40" s="90"/>
      <c r="AB40" s="90"/>
      <c r="AC40" s="90"/>
      <c r="AD40" s="90"/>
      <c r="AE40" s="90"/>
      <c r="AF40" s="90"/>
      <c r="AG40" s="90"/>
      <c r="AH40" s="90"/>
      <c r="AI40" s="90"/>
      <c r="AJ40" s="90"/>
      <c r="AK40" s="90"/>
      <c r="AL40" s="90"/>
      <c r="AM40" s="90"/>
      <c r="AN40" s="78">
        <f t="shared" si="13"/>
        <v>0</v>
      </c>
      <c r="AO40" s="68" t="str">
        <f t="shared" si="15"/>
        <v>ok</v>
      </c>
    </row>
    <row r="41" spans="3:41">
      <c r="C41" s="87">
        <v>14</v>
      </c>
      <c r="D41" s="91">
        <v>0</v>
      </c>
      <c r="E41" s="90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0"/>
      <c r="R41" s="80">
        <f>$D41/$C$6/2</f>
        <v>0</v>
      </c>
      <c r="S41" s="80">
        <f>$D41/$C$6</f>
        <v>0</v>
      </c>
      <c r="T41" s="80">
        <f t="shared" ref="T41:Y41" si="27">S41</f>
        <v>0</v>
      </c>
      <c r="U41" s="80">
        <f t="shared" si="27"/>
        <v>0</v>
      </c>
      <c r="V41" s="80">
        <f t="shared" si="27"/>
        <v>0</v>
      </c>
      <c r="W41" s="80">
        <f t="shared" si="27"/>
        <v>0</v>
      </c>
      <c r="X41" s="80">
        <f t="shared" si="27"/>
        <v>0</v>
      </c>
      <c r="Y41" s="80">
        <f t="shared" si="27"/>
        <v>0</v>
      </c>
      <c r="Z41" s="80">
        <f>$D41/$C$6/2</f>
        <v>0</v>
      </c>
      <c r="AA41" s="90"/>
      <c r="AB41" s="90"/>
      <c r="AC41" s="90"/>
      <c r="AD41" s="90"/>
      <c r="AE41" s="90"/>
      <c r="AF41" s="90"/>
      <c r="AG41" s="90"/>
      <c r="AH41" s="90"/>
      <c r="AI41" s="90"/>
      <c r="AJ41" s="90"/>
      <c r="AK41" s="90"/>
      <c r="AL41" s="90"/>
      <c r="AM41" s="90"/>
      <c r="AN41" s="78">
        <f t="shared" si="13"/>
        <v>0</v>
      </c>
      <c r="AO41" s="68" t="str">
        <f t="shared" si="15"/>
        <v>ok</v>
      </c>
    </row>
    <row r="42" spans="3:41">
      <c r="C42" s="87">
        <v>15</v>
      </c>
      <c r="D42" s="91">
        <v>0</v>
      </c>
      <c r="E42" s="90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80">
        <f>$D42/$C$6/2</f>
        <v>0</v>
      </c>
      <c r="T42" s="80">
        <f>$D42/$C$6</f>
        <v>0</v>
      </c>
      <c r="U42" s="80">
        <f t="shared" ref="U42:Z42" si="28">T42</f>
        <v>0</v>
      </c>
      <c r="V42" s="80">
        <f t="shared" si="28"/>
        <v>0</v>
      </c>
      <c r="W42" s="80">
        <f t="shared" si="28"/>
        <v>0</v>
      </c>
      <c r="X42" s="80">
        <f t="shared" si="28"/>
        <v>0</v>
      </c>
      <c r="Y42" s="80">
        <f t="shared" si="28"/>
        <v>0</v>
      </c>
      <c r="Z42" s="80">
        <f t="shared" si="28"/>
        <v>0</v>
      </c>
      <c r="AA42" s="80">
        <f>$D42/$C$6/2</f>
        <v>0</v>
      </c>
      <c r="AB42" s="90"/>
      <c r="AC42" s="90"/>
      <c r="AD42" s="90"/>
      <c r="AE42" s="90"/>
      <c r="AF42" s="90"/>
      <c r="AG42" s="90"/>
      <c r="AH42" s="90"/>
      <c r="AI42" s="90"/>
      <c r="AJ42" s="90"/>
      <c r="AK42" s="90"/>
      <c r="AL42" s="90"/>
      <c r="AM42" s="90"/>
      <c r="AN42" s="78">
        <f t="shared" si="13"/>
        <v>0</v>
      </c>
      <c r="AO42" s="68" t="str">
        <f t="shared" si="15"/>
        <v>ok</v>
      </c>
    </row>
    <row r="43" spans="3:41">
      <c r="C43" s="87">
        <v>16</v>
      </c>
      <c r="D43" s="91">
        <v>0</v>
      </c>
      <c r="E43" s="90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0"/>
      <c r="R43" s="90"/>
      <c r="S43" s="90"/>
      <c r="T43" s="80">
        <f>$D43/$C$6/2</f>
        <v>0</v>
      </c>
      <c r="U43" s="80">
        <f>$D43/$C$6</f>
        <v>0</v>
      </c>
      <c r="V43" s="80">
        <f t="shared" ref="V43:AA43" si="29">U43</f>
        <v>0</v>
      </c>
      <c r="W43" s="80">
        <f t="shared" si="29"/>
        <v>0</v>
      </c>
      <c r="X43" s="80">
        <f t="shared" si="29"/>
        <v>0</v>
      </c>
      <c r="Y43" s="80">
        <f t="shared" si="29"/>
        <v>0</v>
      </c>
      <c r="Z43" s="80">
        <f t="shared" si="29"/>
        <v>0</v>
      </c>
      <c r="AA43" s="80">
        <f t="shared" si="29"/>
        <v>0</v>
      </c>
      <c r="AB43" s="80">
        <f>$D43/$C$6/2</f>
        <v>0</v>
      </c>
      <c r="AC43" s="90"/>
      <c r="AD43" s="90"/>
      <c r="AE43" s="90"/>
      <c r="AF43" s="90"/>
      <c r="AG43" s="90"/>
      <c r="AH43" s="90"/>
      <c r="AI43" s="90"/>
      <c r="AJ43" s="90"/>
      <c r="AK43" s="90"/>
      <c r="AL43" s="90"/>
      <c r="AM43" s="90"/>
      <c r="AN43" s="78">
        <f t="shared" si="13"/>
        <v>0</v>
      </c>
      <c r="AO43" s="68" t="str">
        <f t="shared" si="15"/>
        <v>ok</v>
      </c>
    </row>
    <row r="44" spans="3:41">
      <c r="C44" s="87">
        <v>17</v>
      </c>
      <c r="D44" s="91">
        <v>0</v>
      </c>
      <c r="E44" s="90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0"/>
      <c r="R44" s="90"/>
      <c r="S44" s="90"/>
      <c r="T44" s="90"/>
      <c r="U44" s="80">
        <f>$D44/$C$6/2</f>
        <v>0</v>
      </c>
      <c r="V44" s="80">
        <f>$D44/$C$6</f>
        <v>0</v>
      </c>
      <c r="W44" s="80">
        <f t="shared" ref="W44:AB44" si="30">V44</f>
        <v>0</v>
      </c>
      <c r="X44" s="80">
        <f t="shared" si="30"/>
        <v>0</v>
      </c>
      <c r="Y44" s="80">
        <f t="shared" si="30"/>
        <v>0</v>
      </c>
      <c r="Z44" s="80">
        <f t="shared" si="30"/>
        <v>0</v>
      </c>
      <c r="AA44" s="80">
        <f t="shared" si="30"/>
        <v>0</v>
      </c>
      <c r="AB44" s="80">
        <f t="shared" si="30"/>
        <v>0</v>
      </c>
      <c r="AC44" s="80">
        <f>$D44/$C$6/2</f>
        <v>0</v>
      </c>
      <c r="AD44" s="90"/>
      <c r="AE44" s="90"/>
      <c r="AF44" s="90"/>
      <c r="AG44" s="90"/>
      <c r="AH44" s="90"/>
      <c r="AI44" s="90"/>
      <c r="AJ44" s="90"/>
      <c r="AK44" s="90"/>
      <c r="AL44" s="90"/>
      <c r="AM44" s="90"/>
      <c r="AN44" s="78">
        <f t="shared" si="13"/>
        <v>0</v>
      </c>
      <c r="AO44" s="68" t="str">
        <f t="shared" si="15"/>
        <v>ok</v>
      </c>
    </row>
    <row r="45" spans="3:41">
      <c r="C45" s="87">
        <v>18</v>
      </c>
      <c r="D45" s="91">
        <v>0</v>
      </c>
      <c r="E45" s="90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0"/>
      <c r="R45" s="90"/>
      <c r="S45" s="90"/>
      <c r="T45" s="90"/>
      <c r="U45" s="90"/>
      <c r="V45" s="80">
        <f>$D45/$C$6/2</f>
        <v>0</v>
      </c>
      <c r="W45" s="80">
        <f>$D45/$C$6</f>
        <v>0</v>
      </c>
      <c r="X45" s="80">
        <f t="shared" ref="X45:AC45" si="31">W45</f>
        <v>0</v>
      </c>
      <c r="Y45" s="80">
        <f t="shared" si="31"/>
        <v>0</v>
      </c>
      <c r="Z45" s="80">
        <f t="shared" si="31"/>
        <v>0</v>
      </c>
      <c r="AA45" s="80">
        <f t="shared" si="31"/>
        <v>0</v>
      </c>
      <c r="AB45" s="80">
        <f t="shared" si="31"/>
        <v>0</v>
      </c>
      <c r="AC45" s="80">
        <f t="shared" si="31"/>
        <v>0</v>
      </c>
      <c r="AD45" s="80">
        <f>$D45/$C$6/2</f>
        <v>0</v>
      </c>
      <c r="AE45" s="90"/>
      <c r="AF45" s="90"/>
      <c r="AG45" s="90"/>
      <c r="AH45" s="90"/>
      <c r="AI45" s="90"/>
      <c r="AJ45" s="90"/>
      <c r="AK45" s="90"/>
      <c r="AL45" s="90"/>
      <c r="AM45" s="90"/>
      <c r="AN45" s="78">
        <f t="shared" si="13"/>
        <v>0</v>
      </c>
      <c r="AO45" s="68" t="str">
        <f t="shared" si="15"/>
        <v>ok</v>
      </c>
    </row>
    <row r="46" spans="3:41">
      <c r="C46" s="87">
        <v>19</v>
      </c>
      <c r="D46" s="91">
        <v>0</v>
      </c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80">
        <f>$D46/$C$6/2</f>
        <v>0</v>
      </c>
      <c r="X46" s="80">
        <f>$D46/$C$6</f>
        <v>0</v>
      </c>
      <c r="Y46" s="80">
        <f t="shared" ref="Y46:AD46" si="32">X46</f>
        <v>0</v>
      </c>
      <c r="Z46" s="80">
        <f t="shared" si="32"/>
        <v>0</v>
      </c>
      <c r="AA46" s="80">
        <f t="shared" si="32"/>
        <v>0</v>
      </c>
      <c r="AB46" s="80">
        <f t="shared" si="32"/>
        <v>0</v>
      </c>
      <c r="AC46" s="80">
        <f t="shared" si="32"/>
        <v>0</v>
      </c>
      <c r="AD46" s="80">
        <f t="shared" si="32"/>
        <v>0</v>
      </c>
      <c r="AE46" s="80">
        <f>$D46/$C$6/2</f>
        <v>0</v>
      </c>
      <c r="AF46" s="90"/>
      <c r="AG46" s="90"/>
      <c r="AH46" s="90"/>
      <c r="AI46" s="90"/>
      <c r="AJ46" s="90"/>
      <c r="AK46" s="90"/>
      <c r="AL46" s="90"/>
      <c r="AM46" s="90"/>
      <c r="AN46" s="78">
        <f t="shared" si="13"/>
        <v>0</v>
      </c>
      <c r="AO46" s="68" t="str">
        <f t="shared" si="15"/>
        <v>ok</v>
      </c>
    </row>
    <row r="47" spans="3:41">
      <c r="C47" s="87">
        <v>20</v>
      </c>
      <c r="D47" s="91">
        <v>0</v>
      </c>
      <c r="E47" s="90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0"/>
      <c r="R47" s="90"/>
      <c r="S47" s="90"/>
      <c r="T47" s="90"/>
      <c r="U47" s="90"/>
      <c r="V47" s="90"/>
      <c r="W47" s="90"/>
      <c r="X47" s="80">
        <f>$D47/$C$6/2</f>
        <v>0</v>
      </c>
      <c r="Y47" s="80">
        <f>$D47/$C$6</f>
        <v>0</v>
      </c>
      <c r="Z47" s="80">
        <f t="shared" ref="Z47:AE47" si="33">Y47</f>
        <v>0</v>
      </c>
      <c r="AA47" s="80">
        <f t="shared" si="33"/>
        <v>0</v>
      </c>
      <c r="AB47" s="80">
        <f t="shared" si="33"/>
        <v>0</v>
      </c>
      <c r="AC47" s="80">
        <f t="shared" si="33"/>
        <v>0</v>
      </c>
      <c r="AD47" s="80">
        <f t="shared" si="33"/>
        <v>0</v>
      </c>
      <c r="AE47" s="80">
        <f t="shared" si="33"/>
        <v>0</v>
      </c>
      <c r="AF47" s="80">
        <f>$D47/$C$6/2</f>
        <v>0</v>
      </c>
      <c r="AG47" s="90"/>
      <c r="AH47" s="90"/>
      <c r="AI47" s="90"/>
      <c r="AJ47" s="90"/>
      <c r="AK47" s="90"/>
      <c r="AL47" s="90"/>
      <c r="AM47" s="90"/>
      <c r="AN47" s="78">
        <f t="shared" si="13"/>
        <v>0</v>
      </c>
      <c r="AO47" s="68" t="str">
        <f t="shared" si="15"/>
        <v>ok</v>
      </c>
    </row>
    <row r="48" spans="3:41">
      <c r="C48" s="87">
        <v>21</v>
      </c>
      <c r="D48" s="91">
        <v>0</v>
      </c>
      <c r="E48" s="90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0"/>
      <c r="R48" s="90"/>
      <c r="S48" s="90"/>
      <c r="T48" s="90"/>
      <c r="U48" s="90"/>
      <c r="V48" s="90"/>
      <c r="W48" s="90"/>
      <c r="X48" s="90"/>
      <c r="Y48" s="80">
        <f>$D48/$C$6/2</f>
        <v>0</v>
      </c>
      <c r="Z48" s="80">
        <f>$D48/$C$6</f>
        <v>0</v>
      </c>
      <c r="AA48" s="80">
        <f t="shared" ref="AA48:AF48" si="34">Z48</f>
        <v>0</v>
      </c>
      <c r="AB48" s="80">
        <f t="shared" si="34"/>
        <v>0</v>
      </c>
      <c r="AC48" s="80">
        <f t="shared" si="34"/>
        <v>0</v>
      </c>
      <c r="AD48" s="80">
        <f t="shared" si="34"/>
        <v>0</v>
      </c>
      <c r="AE48" s="80">
        <f t="shared" si="34"/>
        <v>0</v>
      </c>
      <c r="AF48" s="80">
        <f t="shared" si="34"/>
        <v>0</v>
      </c>
      <c r="AG48" s="80">
        <f>$D48/$C$6/2</f>
        <v>0</v>
      </c>
      <c r="AH48" s="90"/>
      <c r="AI48" s="90"/>
      <c r="AJ48" s="90"/>
      <c r="AK48" s="90"/>
      <c r="AL48" s="90"/>
      <c r="AM48" s="90"/>
      <c r="AN48" s="78">
        <f t="shared" si="13"/>
        <v>0</v>
      </c>
      <c r="AO48" s="68" t="str">
        <f t="shared" si="15"/>
        <v>ok</v>
      </c>
    </row>
    <row r="49" spans="3:42">
      <c r="C49" s="87">
        <v>22</v>
      </c>
      <c r="D49" s="91">
        <v>0</v>
      </c>
      <c r="E49" s="90"/>
      <c r="F49" s="90"/>
      <c r="G49" s="90"/>
      <c r="H49" s="90"/>
      <c r="I49" s="90"/>
      <c r="J49" s="90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90"/>
      <c r="V49" s="90"/>
      <c r="W49" s="90"/>
      <c r="X49" s="90"/>
      <c r="Y49" s="90"/>
      <c r="Z49" s="80">
        <f>$D49/$C$6/2</f>
        <v>0</v>
      </c>
      <c r="AA49" s="80">
        <f>$D49/$C$6</f>
        <v>0</v>
      </c>
      <c r="AB49" s="80">
        <f t="shared" ref="AB49:AG49" si="35">AA49</f>
        <v>0</v>
      </c>
      <c r="AC49" s="80">
        <f t="shared" si="35"/>
        <v>0</v>
      </c>
      <c r="AD49" s="80">
        <f t="shared" si="35"/>
        <v>0</v>
      </c>
      <c r="AE49" s="80">
        <f t="shared" si="35"/>
        <v>0</v>
      </c>
      <c r="AF49" s="80">
        <f t="shared" si="35"/>
        <v>0</v>
      </c>
      <c r="AG49" s="80">
        <f t="shared" si="35"/>
        <v>0</v>
      </c>
      <c r="AH49" s="80">
        <f>$D49/$C$6/2</f>
        <v>0</v>
      </c>
      <c r="AI49" s="90"/>
      <c r="AJ49" s="90"/>
      <c r="AK49" s="90"/>
      <c r="AL49" s="90"/>
      <c r="AM49" s="90"/>
      <c r="AN49" s="78">
        <f t="shared" si="13"/>
        <v>0</v>
      </c>
      <c r="AO49" s="68" t="str">
        <f t="shared" si="15"/>
        <v>ok</v>
      </c>
    </row>
    <row r="50" spans="3:42">
      <c r="C50" s="87">
        <v>23</v>
      </c>
      <c r="D50" s="91">
        <v>0</v>
      </c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  <c r="X50" s="90"/>
      <c r="Y50" s="90"/>
      <c r="Z50" s="90"/>
      <c r="AA50" s="80">
        <f>$D50/$C$6/2</f>
        <v>0</v>
      </c>
      <c r="AB50" s="80">
        <f>$D50/$C$6</f>
        <v>0</v>
      </c>
      <c r="AC50" s="80">
        <f t="shared" ref="AC50:AH50" si="36">AB50</f>
        <v>0</v>
      </c>
      <c r="AD50" s="80">
        <f t="shared" si="36"/>
        <v>0</v>
      </c>
      <c r="AE50" s="80">
        <f t="shared" si="36"/>
        <v>0</v>
      </c>
      <c r="AF50" s="80">
        <f t="shared" si="36"/>
        <v>0</v>
      </c>
      <c r="AG50" s="80">
        <f t="shared" si="36"/>
        <v>0</v>
      </c>
      <c r="AH50" s="80">
        <f t="shared" si="36"/>
        <v>0</v>
      </c>
      <c r="AI50" s="80">
        <f>$D50/$C$6/2</f>
        <v>0</v>
      </c>
      <c r="AJ50" s="90"/>
      <c r="AK50" s="90"/>
      <c r="AL50" s="90"/>
      <c r="AM50" s="90"/>
      <c r="AN50" s="78">
        <f t="shared" si="13"/>
        <v>0</v>
      </c>
      <c r="AO50" s="68" t="str">
        <f t="shared" si="15"/>
        <v>ok</v>
      </c>
    </row>
    <row r="51" spans="3:42">
      <c r="C51" s="87">
        <v>24</v>
      </c>
      <c r="D51" s="91">
        <v>0</v>
      </c>
      <c r="E51" s="90"/>
      <c r="F51" s="90"/>
      <c r="G51" s="90"/>
      <c r="H51" s="90"/>
      <c r="I51" s="90"/>
      <c r="J51" s="90"/>
      <c r="K51" s="90"/>
      <c r="L51" s="90"/>
      <c r="M51" s="90"/>
      <c r="N51" s="90"/>
      <c r="O51" s="90"/>
      <c r="P51" s="90"/>
      <c r="Q51" s="90"/>
      <c r="R51" s="90"/>
      <c r="S51" s="90"/>
      <c r="T51" s="90"/>
      <c r="U51" s="90"/>
      <c r="V51" s="90"/>
      <c r="W51" s="90"/>
      <c r="X51" s="90"/>
      <c r="Y51" s="90"/>
      <c r="Z51" s="90"/>
      <c r="AA51" s="90"/>
      <c r="AB51" s="80">
        <f>$D51/$C$6/2</f>
        <v>0</v>
      </c>
      <c r="AC51" s="80">
        <f>$D51/$C$6</f>
        <v>0</v>
      </c>
      <c r="AD51" s="80">
        <f t="shared" ref="AD51:AI51" si="37">AC51</f>
        <v>0</v>
      </c>
      <c r="AE51" s="80">
        <f t="shared" si="37"/>
        <v>0</v>
      </c>
      <c r="AF51" s="80">
        <f t="shared" si="37"/>
        <v>0</v>
      </c>
      <c r="AG51" s="80">
        <f t="shared" si="37"/>
        <v>0</v>
      </c>
      <c r="AH51" s="80">
        <f t="shared" si="37"/>
        <v>0</v>
      </c>
      <c r="AI51" s="80">
        <f t="shared" si="37"/>
        <v>0</v>
      </c>
      <c r="AJ51" s="80">
        <f>$D51/$C$6/2</f>
        <v>0</v>
      </c>
      <c r="AK51" s="90"/>
      <c r="AL51" s="90"/>
      <c r="AM51" s="90"/>
      <c r="AN51" s="78">
        <f t="shared" si="13"/>
        <v>0</v>
      </c>
      <c r="AO51" s="68" t="str">
        <f t="shared" si="15"/>
        <v>ok</v>
      </c>
    </row>
    <row r="52" spans="3:42">
      <c r="C52" s="87">
        <v>25</v>
      </c>
      <c r="D52" s="91">
        <v>0</v>
      </c>
      <c r="E52" s="90"/>
      <c r="F52" s="90"/>
      <c r="G52" s="90"/>
      <c r="H52" s="90"/>
      <c r="I52" s="90"/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  <c r="W52" s="90"/>
      <c r="X52" s="90"/>
      <c r="Y52" s="90"/>
      <c r="Z52" s="90"/>
      <c r="AA52" s="90"/>
      <c r="AB52" s="90"/>
      <c r="AC52" s="80">
        <f>$D52/$C$6/2</f>
        <v>0</v>
      </c>
      <c r="AD52" s="80">
        <f>$D52/$C$6</f>
        <v>0</v>
      </c>
      <c r="AE52" s="80">
        <f t="shared" ref="AE52:AJ52" si="38">AD52</f>
        <v>0</v>
      </c>
      <c r="AF52" s="80">
        <f t="shared" si="38"/>
        <v>0</v>
      </c>
      <c r="AG52" s="80">
        <f t="shared" si="38"/>
        <v>0</v>
      </c>
      <c r="AH52" s="80">
        <f t="shared" si="38"/>
        <v>0</v>
      </c>
      <c r="AI52" s="80">
        <f t="shared" si="38"/>
        <v>0</v>
      </c>
      <c r="AJ52" s="80">
        <f t="shared" si="38"/>
        <v>0</v>
      </c>
      <c r="AK52" s="80">
        <f>$D52/$C$6/2</f>
        <v>0</v>
      </c>
      <c r="AL52" s="90"/>
      <c r="AM52" s="90"/>
      <c r="AN52" s="78">
        <f t="shared" si="13"/>
        <v>0</v>
      </c>
      <c r="AO52" s="68" t="str">
        <f t="shared" si="15"/>
        <v>ok</v>
      </c>
    </row>
    <row r="53" spans="3:42">
      <c r="C53" s="87">
        <v>26</v>
      </c>
      <c r="D53" s="91">
        <v>0</v>
      </c>
      <c r="E53" s="90"/>
      <c r="F53" s="90"/>
      <c r="G53" s="90"/>
      <c r="H53" s="90"/>
      <c r="I53" s="90"/>
      <c r="J53" s="90"/>
      <c r="K53" s="90"/>
      <c r="L53" s="90"/>
      <c r="M53" s="90"/>
      <c r="N53" s="90"/>
      <c r="O53" s="90"/>
      <c r="P53" s="90"/>
      <c r="Q53" s="90"/>
      <c r="R53" s="90"/>
      <c r="S53" s="90"/>
      <c r="T53" s="90"/>
      <c r="U53" s="90"/>
      <c r="V53" s="90"/>
      <c r="W53" s="90"/>
      <c r="X53" s="90"/>
      <c r="Y53" s="90"/>
      <c r="Z53" s="90"/>
      <c r="AA53" s="90"/>
      <c r="AB53" s="90"/>
      <c r="AC53" s="90"/>
      <c r="AD53" s="80">
        <f>$D53/$C$6/2</f>
        <v>0</v>
      </c>
      <c r="AE53" s="80">
        <f>$D53/$C$6</f>
        <v>0</v>
      </c>
      <c r="AF53" s="80">
        <f t="shared" ref="AF53:AK53" si="39">AE53</f>
        <v>0</v>
      </c>
      <c r="AG53" s="80">
        <f t="shared" si="39"/>
        <v>0</v>
      </c>
      <c r="AH53" s="80">
        <f t="shared" si="39"/>
        <v>0</v>
      </c>
      <c r="AI53" s="80">
        <f t="shared" si="39"/>
        <v>0</v>
      </c>
      <c r="AJ53" s="80">
        <f t="shared" si="39"/>
        <v>0</v>
      </c>
      <c r="AK53" s="80">
        <f t="shared" si="39"/>
        <v>0</v>
      </c>
      <c r="AL53" s="80">
        <f>$D53/$C$6/2</f>
        <v>0</v>
      </c>
      <c r="AM53" s="90"/>
      <c r="AN53" s="78">
        <f t="shared" si="13"/>
        <v>0</v>
      </c>
      <c r="AO53" s="68" t="str">
        <f t="shared" si="15"/>
        <v>ok</v>
      </c>
    </row>
    <row r="54" spans="3:42">
      <c r="C54" s="87">
        <v>27</v>
      </c>
      <c r="D54" s="91">
        <v>0</v>
      </c>
      <c r="E54" s="90"/>
      <c r="F54" s="90"/>
      <c r="G54" s="90"/>
      <c r="H54" s="90"/>
      <c r="I54" s="90"/>
      <c r="J54" s="90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90"/>
      <c r="V54" s="90"/>
      <c r="W54" s="90"/>
      <c r="X54" s="90"/>
      <c r="Y54" s="90"/>
      <c r="Z54" s="90"/>
      <c r="AA54" s="90"/>
      <c r="AB54" s="90"/>
      <c r="AC54" s="90"/>
      <c r="AD54" s="90"/>
      <c r="AE54" s="80">
        <f>$D54/$C$6/2</f>
        <v>0</v>
      </c>
      <c r="AF54" s="80">
        <f>$D54/$C$6</f>
        <v>0</v>
      </c>
      <c r="AG54" s="80">
        <f t="shared" ref="AG54:AL54" si="40">AF54</f>
        <v>0</v>
      </c>
      <c r="AH54" s="80">
        <f t="shared" si="40"/>
        <v>0</v>
      </c>
      <c r="AI54" s="80">
        <f t="shared" si="40"/>
        <v>0</v>
      </c>
      <c r="AJ54" s="80">
        <f t="shared" si="40"/>
        <v>0</v>
      </c>
      <c r="AK54" s="80">
        <f t="shared" si="40"/>
        <v>0</v>
      </c>
      <c r="AL54" s="80">
        <f t="shared" si="40"/>
        <v>0</v>
      </c>
      <c r="AM54" s="80">
        <f>$D54/$C$6/2</f>
        <v>0</v>
      </c>
      <c r="AN54" s="78">
        <f t="shared" si="13"/>
        <v>0</v>
      </c>
      <c r="AO54" s="68" t="str">
        <f t="shared" si="15"/>
        <v>ok</v>
      </c>
    </row>
    <row r="55" spans="3:42">
      <c r="C55" s="87">
        <v>28</v>
      </c>
      <c r="D55" s="91">
        <v>0</v>
      </c>
      <c r="E55" s="90"/>
      <c r="F55" s="90"/>
      <c r="G55" s="90"/>
      <c r="H55" s="90"/>
      <c r="I55" s="90"/>
      <c r="J55" s="90"/>
      <c r="K55" s="90"/>
      <c r="L55" s="90"/>
      <c r="M55" s="90"/>
      <c r="N55" s="90"/>
      <c r="O55" s="90"/>
      <c r="P55" s="90"/>
      <c r="Q55" s="90"/>
      <c r="R55" s="90"/>
      <c r="S55" s="90"/>
      <c r="T55" s="90"/>
      <c r="U55" s="90"/>
      <c r="V55" s="90"/>
      <c r="W55" s="90"/>
      <c r="X55" s="90"/>
      <c r="Y55" s="90"/>
      <c r="Z55" s="90"/>
      <c r="AA55" s="90"/>
      <c r="AB55" s="90"/>
      <c r="AC55" s="90"/>
      <c r="AD55" s="90"/>
      <c r="AE55" s="90"/>
      <c r="AF55" s="80">
        <f>$D55/7.5/2</f>
        <v>0</v>
      </c>
      <c r="AG55" s="80">
        <f>$D55/7.5</f>
        <v>0</v>
      </c>
      <c r="AH55" s="80">
        <f t="shared" ref="AH55:AM55" si="41">AG55</f>
        <v>0</v>
      </c>
      <c r="AI55" s="80">
        <f t="shared" si="41"/>
        <v>0</v>
      </c>
      <c r="AJ55" s="80">
        <f t="shared" si="41"/>
        <v>0</v>
      </c>
      <c r="AK55" s="80">
        <f t="shared" si="41"/>
        <v>0</v>
      </c>
      <c r="AL55" s="80">
        <f t="shared" si="41"/>
        <v>0</v>
      </c>
      <c r="AM55" s="80">
        <f t="shared" si="41"/>
        <v>0</v>
      </c>
      <c r="AN55" s="78">
        <f t="shared" si="13"/>
        <v>0</v>
      </c>
      <c r="AO55" s="68" t="str">
        <f t="shared" si="15"/>
        <v>ok</v>
      </c>
    </row>
    <row r="56" spans="3:42">
      <c r="C56" s="87">
        <v>29</v>
      </c>
      <c r="D56" s="91">
        <v>0</v>
      </c>
      <c r="E56" s="90"/>
      <c r="F56" s="90"/>
      <c r="G56" s="90"/>
      <c r="H56" s="90"/>
      <c r="I56" s="90"/>
      <c r="J56" s="90"/>
      <c r="K56" s="90"/>
      <c r="L56" s="90"/>
      <c r="M56" s="90"/>
      <c r="N56" s="90"/>
      <c r="O56" s="90"/>
      <c r="P56" s="90"/>
      <c r="Q56" s="90"/>
      <c r="R56" s="90"/>
      <c r="S56" s="90"/>
      <c r="T56" s="90"/>
      <c r="U56" s="90"/>
      <c r="V56" s="90"/>
      <c r="W56" s="90"/>
      <c r="X56" s="90"/>
      <c r="Y56" s="90"/>
      <c r="Z56" s="90"/>
      <c r="AA56" s="90"/>
      <c r="AB56" s="90"/>
      <c r="AC56" s="90"/>
      <c r="AD56" s="90"/>
      <c r="AE56" s="90"/>
      <c r="AF56" s="90"/>
      <c r="AG56" s="80">
        <f>$D56/6.5/2</f>
        <v>0</v>
      </c>
      <c r="AH56" s="80">
        <f>$D56/6.5</f>
        <v>0</v>
      </c>
      <c r="AI56" s="80">
        <f>AH56</f>
        <v>0</v>
      </c>
      <c r="AJ56" s="80">
        <f>AI56</f>
        <v>0</v>
      </c>
      <c r="AK56" s="80">
        <f>AJ56</f>
        <v>0</v>
      </c>
      <c r="AL56" s="80">
        <f>AK56</f>
        <v>0</v>
      </c>
      <c r="AM56" s="80">
        <f>AL56</f>
        <v>0</v>
      </c>
      <c r="AN56" s="78">
        <f t="shared" si="13"/>
        <v>0</v>
      </c>
      <c r="AO56" s="68" t="str">
        <f t="shared" si="15"/>
        <v>ok</v>
      </c>
      <c r="AP56" s="89"/>
    </row>
    <row r="57" spans="3:42">
      <c r="C57" s="87">
        <v>30</v>
      </c>
      <c r="D57" s="91">
        <v>0</v>
      </c>
      <c r="E57" s="90"/>
      <c r="F57" s="90"/>
      <c r="G57" s="90"/>
      <c r="H57" s="90"/>
      <c r="I57" s="90"/>
      <c r="J57" s="90"/>
      <c r="K57" s="90"/>
      <c r="L57" s="90"/>
      <c r="M57" s="90"/>
      <c r="N57" s="90"/>
      <c r="O57" s="90"/>
      <c r="P57" s="90"/>
      <c r="Q57" s="90"/>
      <c r="R57" s="90"/>
      <c r="S57" s="90"/>
      <c r="T57" s="90"/>
      <c r="U57" s="90"/>
      <c r="V57" s="90"/>
      <c r="W57" s="90"/>
      <c r="X57" s="90"/>
      <c r="Y57" s="90"/>
      <c r="Z57" s="90"/>
      <c r="AA57" s="90"/>
      <c r="AB57" s="90"/>
      <c r="AC57" s="90"/>
      <c r="AD57" s="90"/>
      <c r="AE57" s="90"/>
      <c r="AF57" s="90"/>
      <c r="AG57" s="90"/>
      <c r="AH57" s="80">
        <f>$D57/5.5/2</f>
        <v>0</v>
      </c>
      <c r="AI57" s="80">
        <f>$D57/5.5</f>
        <v>0</v>
      </c>
      <c r="AJ57" s="80">
        <f>AI57</f>
        <v>0</v>
      </c>
      <c r="AK57" s="80">
        <f>AJ57</f>
        <v>0</v>
      </c>
      <c r="AL57" s="80">
        <f>AK57</f>
        <v>0</v>
      </c>
      <c r="AM57" s="80">
        <f>AL57</f>
        <v>0</v>
      </c>
      <c r="AN57" s="78">
        <f t="shared" si="13"/>
        <v>0</v>
      </c>
      <c r="AO57" s="68" t="str">
        <f t="shared" si="15"/>
        <v>ok</v>
      </c>
      <c r="AP57" s="89"/>
    </row>
    <row r="58" spans="3:42">
      <c r="C58" s="87">
        <v>31</v>
      </c>
      <c r="D58" s="91">
        <v>0</v>
      </c>
      <c r="E58" s="90"/>
      <c r="F58" s="90"/>
      <c r="G58" s="90"/>
      <c r="H58" s="90"/>
      <c r="I58" s="90"/>
      <c r="J58" s="90"/>
      <c r="K58" s="90"/>
      <c r="L58" s="90"/>
      <c r="M58" s="90"/>
      <c r="N58" s="90"/>
      <c r="O58" s="90"/>
      <c r="P58" s="90"/>
      <c r="Q58" s="90"/>
      <c r="R58" s="90"/>
      <c r="S58" s="90"/>
      <c r="T58" s="90"/>
      <c r="U58" s="90"/>
      <c r="V58" s="90"/>
      <c r="W58" s="90"/>
      <c r="X58" s="90"/>
      <c r="Y58" s="90"/>
      <c r="Z58" s="90"/>
      <c r="AA58" s="90"/>
      <c r="AB58" s="90"/>
      <c r="AC58" s="90"/>
      <c r="AD58" s="90"/>
      <c r="AE58" s="90"/>
      <c r="AF58" s="90"/>
      <c r="AG58" s="90"/>
      <c r="AH58" s="90"/>
      <c r="AI58" s="80">
        <f>$D58/4.5/2</f>
        <v>0</v>
      </c>
      <c r="AJ58" s="80">
        <f>$D58/4.5</f>
        <v>0</v>
      </c>
      <c r="AK58" s="80">
        <f>AJ58</f>
        <v>0</v>
      </c>
      <c r="AL58" s="80">
        <f>AK58</f>
        <v>0</v>
      </c>
      <c r="AM58" s="80">
        <f>AL58</f>
        <v>0</v>
      </c>
      <c r="AN58" s="78">
        <f t="shared" si="13"/>
        <v>0</v>
      </c>
      <c r="AO58" s="68" t="str">
        <f t="shared" si="15"/>
        <v>ok</v>
      </c>
      <c r="AP58" s="89"/>
    </row>
    <row r="59" spans="3:42">
      <c r="C59" s="87">
        <v>32</v>
      </c>
      <c r="D59" s="91">
        <v>0</v>
      </c>
      <c r="E59" s="90"/>
      <c r="F59" s="90"/>
      <c r="G59" s="90"/>
      <c r="H59" s="90"/>
      <c r="I59" s="90"/>
      <c r="J59" s="90"/>
      <c r="K59" s="90"/>
      <c r="L59" s="90"/>
      <c r="M59" s="90"/>
      <c r="N59" s="90"/>
      <c r="O59" s="90"/>
      <c r="P59" s="90"/>
      <c r="Q59" s="90"/>
      <c r="R59" s="90"/>
      <c r="S59" s="90"/>
      <c r="T59" s="90"/>
      <c r="U59" s="90"/>
      <c r="V59" s="90"/>
      <c r="W59" s="90"/>
      <c r="X59" s="90"/>
      <c r="Y59" s="90"/>
      <c r="Z59" s="90"/>
      <c r="AA59" s="90"/>
      <c r="AB59" s="90"/>
      <c r="AC59" s="90"/>
      <c r="AD59" s="90"/>
      <c r="AE59" s="90"/>
      <c r="AF59" s="90"/>
      <c r="AG59" s="90"/>
      <c r="AH59" s="90"/>
      <c r="AI59" s="90"/>
      <c r="AJ59" s="80">
        <f>$D59/3.5/2</f>
        <v>0</v>
      </c>
      <c r="AK59" s="80">
        <f>$D59/3.5</f>
        <v>0</v>
      </c>
      <c r="AL59" s="80">
        <f>AK59</f>
        <v>0</v>
      </c>
      <c r="AM59" s="80">
        <f>AL59</f>
        <v>0</v>
      </c>
      <c r="AN59" s="78">
        <f t="shared" si="13"/>
        <v>0</v>
      </c>
      <c r="AO59" s="68" t="str">
        <f t="shared" si="15"/>
        <v>ok</v>
      </c>
      <c r="AP59" s="89"/>
    </row>
    <row r="60" spans="3:42">
      <c r="C60" s="87">
        <v>33</v>
      </c>
      <c r="D60" s="91">
        <v>0</v>
      </c>
      <c r="E60" s="90"/>
      <c r="F60" s="90"/>
      <c r="G60" s="90"/>
      <c r="H60" s="90"/>
      <c r="I60" s="90"/>
      <c r="J60" s="90"/>
      <c r="K60" s="90"/>
      <c r="L60" s="90"/>
      <c r="M60" s="90"/>
      <c r="N60" s="90"/>
      <c r="O60" s="90"/>
      <c r="P60" s="90"/>
      <c r="Q60" s="90"/>
      <c r="R60" s="90"/>
      <c r="S60" s="90"/>
      <c r="T60" s="90"/>
      <c r="U60" s="90"/>
      <c r="V60" s="90"/>
      <c r="W60" s="90"/>
      <c r="X60" s="90"/>
      <c r="Y60" s="90"/>
      <c r="Z60" s="90"/>
      <c r="AA60" s="90"/>
      <c r="AB60" s="90"/>
      <c r="AC60" s="90"/>
      <c r="AD60" s="90"/>
      <c r="AE60" s="90"/>
      <c r="AF60" s="90"/>
      <c r="AG60" s="90"/>
      <c r="AH60" s="90"/>
      <c r="AI60" s="90"/>
      <c r="AJ60" s="90"/>
      <c r="AK60" s="80">
        <f>$D60/2.5/2</f>
        <v>0</v>
      </c>
      <c r="AL60" s="80">
        <f>$D60/2.5</f>
        <v>0</v>
      </c>
      <c r="AM60" s="80">
        <f>AL60</f>
        <v>0</v>
      </c>
      <c r="AN60" s="78">
        <f t="shared" si="13"/>
        <v>0</v>
      </c>
      <c r="AO60" s="68" t="str">
        <f t="shared" si="15"/>
        <v>ok</v>
      </c>
      <c r="AP60" s="89"/>
    </row>
    <row r="61" spans="3:42">
      <c r="C61" s="87">
        <v>34</v>
      </c>
      <c r="D61" s="91">
        <v>0</v>
      </c>
      <c r="E61" s="90"/>
      <c r="F61" s="90"/>
      <c r="G61" s="90"/>
      <c r="H61" s="90"/>
      <c r="I61" s="90"/>
      <c r="J61" s="90"/>
      <c r="K61" s="90"/>
      <c r="L61" s="90"/>
      <c r="M61" s="90"/>
      <c r="N61" s="90"/>
      <c r="O61" s="90"/>
      <c r="P61" s="90"/>
      <c r="Q61" s="90"/>
      <c r="R61" s="90"/>
      <c r="S61" s="90"/>
      <c r="T61" s="90"/>
      <c r="U61" s="90"/>
      <c r="V61" s="90"/>
      <c r="W61" s="90"/>
      <c r="X61" s="90"/>
      <c r="Y61" s="90"/>
      <c r="Z61" s="90"/>
      <c r="AA61" s="90"/>
      <c r="AB61" s="90"/>
      <c r="AC61" s="90"/>
      <c r="AD61" s="90"/>
      <c r="AE61" s="90"/>
      <c r="AF61" s="90"/>
      <c r="AG61" s="90"/>
      <c r="AH61" s="90"/>
      <c r="AI61" s="90"/>
      <c r="AJ61" s="90"/>
      <c r="AK61" s="90"/>
      <c r="AL61" s="80">
        <f>$D61/1.5/2</f>
        <v>0</v>
      </c>
      <c r="AM61" s="80">
        <f>$D61/1.5</f>
        <v>0</v>
      </c>
      <c r="AN61" s="78">
        <f t="shared" si="13"/>
        <v>0</v>
      </c>
      <c r="AO61" s="68" t="str">
        <f t="shared" si="15"/>
        <v>ok</v>
      </c>
      <c r="AP61" s="89"/>
    </row>
    <row r="62" spans="3:42">
      <c r="C62" s="87">
        <v>35</v>
      </c>
      <c r="D62" s="91">
        <v>0</v>
      </c>
      <c r="E62" s="90"/>
      <c r="F62" s="90"/>
      <c r="G62" s="90"/>
      <c r="H62" s="90"/>
      <c r="I62" s="90"/>
      <c r="J62" s="90"/>
      <c r="K62" s="90"/>
      <c r="L62" s="90"/>
      <c r="M62" s="90"/>
      <c r="N62" s="90"/>
      <c r="O62" s="90"/>
      <c r="P62" s="90"/>
      <c r="Q62" s="90"/>
      <c r="R62" s="90"/>
      <c r="S62" s="90"/>
      <c r="T62" s="90"/>
      <c r="U62" s="90"/>
      <c r="V62" s="90"/>
      <c r="W62" s="90"/>
      <c r="X62" s="90"/>
      <c r="Y62" s="90"/>
      <c r="Z62" s="90"/>
      <c r="AA62" s="90"/>
      <c r="AB62" s="90"/>
      <c r="AC62" s="90"/>
      <c r="AD62" s="90"/>
      <c r="AE62" s="90"/>
      <c r="AF62" s="90"/>
      <c r="AG62" s="90"/>
      <c r="AH62" s="90"/>
      <c r="AI62" s="90"/>
      <c r="AJ62" s="90"/>
      <c r="AK62" s="90"/>
      <c r="AL62" s="90"/>
      <c r="AM62" s="80">
        <f>$D62</f>
        <v>0</v>
      </c>
      <c r="AN62" s="78">
        <f t="shared" si="13"/>
        <v>0</v>
      </c>
      <c r="AO62" s="68" t="str">
        <f t="shared" si="15"/>
        <v>ok</v>
      </c>
      <c r="AP62" s="89"/>
    </row>
    <row r="63" spans="3:42">
      <c r="C63" s="87" t="s">
        <v>307</v>
      </c>
      <c r="D63" s="78">
        <f t="shared" ref="D63:AK63" si="42">SUM(D28:D62)</f>
        <v>4489.951709317631</v>
      </c>
      <c r="E63" s="78">
        <f t="shared" si="42"/>
        <v>103.94892923926842</v>
      </c>
      <c r="F63" s="78">
        <f t="shared" si="42"/>
        <v>384.57091107162034</v>
      </c>
      <c r="G63" s="78">
        <f t="shared" si="42"/>
        <v>561.24396366470387</v>
      </c>
      <c r="H63" s="78">
        <f t="shared" si="42"/>
        <v>561.24396366470387</v>
      </c>
      <c r="I63" s="78">
        <f t="shared" si="42"/>
        <v>561.24396366470387</v>
      </c>
      <c r="J63" s="78">
        <f t="shared" si="42"/>
        <v>561.24396366470387</v>
      </c>
      <c r="K63" s="78">
        <f t="shared" si="42"/>
        <v>561.24396366470387</v>
      </c>
      <c r="L63" s="78">
        <f t="shared" si="42"/>
        <v>561.24396366470387</v>
      </c>
      <c r="M63" s="78">
        <f t="shared" si="42"/>
        <v>457.2950344254354</v>
      </c>
      <c r="N63" s="78">
        <f t="shared" si="42"/>
        <v>176.6730525930835</v>
      </c>
      <c r="O63" s="78">
        <f t="shared" si="42"/>
        <v>0</v>
      </c>
      <c r="P63" s="78">
        <f t="shared" si="42"/>
        <v>0</v>
      </c>
      <c r="Q63" s="78">
        <f t="shared" si="42"/>
        <v>0</v>
      </c>
      <c r="R63" s="78">
        <f t="shared" si="42"/>
        <v>0</v>
      </c>
      <c r="S63" s="78">
        <f t="shared" si="42"/>
        <v>0</v>
      </c>
      <c r="T63" s="78">
        <f t="shared" si="42"/>
        <v>0</v>
      </c>
      <c r="U63" s="78">
        <f t="shared" si="42"/>
        <v>0</v>
      </c>
      <c r="V63" s="78">
        <f t="shared" si="42"/>
        <v>0</v>
      </c>
      <c r="W63" s="78">
        <f t="shared" si="42"/>
        <v>0</v>
      </c>
      <c r="X63" s="78">
        <f t="shared" si="42"/>
        <v>0</v>
      </c>
      <c r="Y63" s="78">
        <f t="shared" si="42"/>
        <v>0</v>
      </c>
      <c r="Z63" s="78">
        <f t="shared" si="42"/>
        <v>0</v>
      </c>
      <c r="AA63" s="78">
        <f t="shared" si="42"/>
        <v>0</v>
      </c>
      <c r="AB63" s="78">
        <f t="shared" si="42"/>
        <v>0</v>
      </c>
      <c r="AC63" s="78">
        <f t="shared" si="42"/>
        <v>0</v>
      </c>
      <c r="AD63" s="78">
        <f t="shared" si="42"/>
        <v>0</v>
      </c>
      <c r="AE63" s="78">
        <f t="shared" si="42"/>
        <v>0</v>
      </c>
      <c r="AF63" s="78">
        <f t="shared" si="42"/>
        <v>0</v>
      </c>
      <c r="AG63" s="78">
        <f t="shared" si="42"/>
        <v>0</v>
      </c>
      <c r="AH63" s="78">
        <f t="shared" si="42"/>
        <v>0</v>
      </c>
      <c r="AI63" s="78">
        <f t="shared" si="42"/>
        <v>0</v>
      </c>
      <c r="AJ63" s="78">
        <f t="shared" si="42"/>
        <v>0</v>
      </c>
      <c r="AK63" s="78">
        <f t="shared" si="42"/>
        <v>0</v>
      </c>
      <c r="AL63" s="78">
        <f>SUM(AL28:AL62)</f>
        <v>0</v>
      </c>
      <c r="AM63" s="78">
        <f>SUM(AM28:AM62)</f>
        <v>0</v>
      </c>
      <c r="AN63" s="78">
        <f>SUM(AN28:AN62)</f>
        <v>4489.951709317631</v>
      </c>
    </row>
    <row r="65" spans="2:41">
      <c r="B65" s="94"/>
      <c r="C65" s="93"/>
      <c r="D65" s="92" t="str">
        <f>B15</f>
        <v>4.  EQUIPAMENTOS &amp; SISTEMAS DE CONTROLE E VEÍCULOS</v>
      </c>
      <c r="E65" s="88">
        <f>E$27</f>
        <v>1</v>
      </c>
      <c r="F65" s="88">
        <f t="shared" ref="F65:AM65" si="43">F$27</f>
        <v>2</v>
      </c>
      <c r="G65" s="88">
        <f t="shared" si="43"/>
        <v>3</v>
      </c>
      <c r="H65" s="88">
        <f t="shared" si="43"/>
        <v>4</v>
      </c>
      <c r="I65" s="88">
        <f t="shared" si="43"/>
        <v>5</v>
      </c>
      <c r="J65" s="88">
        <f t="shared" si="43"/>
        <v>6</v>
      </c>
      <c r="K65" s="88">
        <f t="shared" si="43"/>
        <v>7</v>
      </c>
      <c r="L65" s="88">
        <f t="shared" si="43"/>
        <v>8</v>
      </c>
      <c r="M65" s="88">
        <f t="shared" si="43"/>
        <v>9</v>
      </c>
      <c r="N65" s="88">
        <f t="shared" si="43"/>
        <v>10</v>
      </c>
      <c r="O65" s="88">
        <f t="shared" si="43"/>
        <v>11</v>
      </c>
      <c r="P65" s="88">
        <f t="shared" si="43"/>
        <v>12</v>
      </c>
      <c r="Q65" s="88">
        <f t="shared" si="43"/>
        <v>13</v>
      </c>
      <c r="R65" s="88">
        <f t="shared" si="43"/>
        <v>14</v>
      </c>
      <c r="S65" s="88">
        <f t="shared" si="43"/>
        <v>15</v>
      </c>
      <c r="T65" s="88">
        <f t="shared" si="43"/>
        <v>16</v>
      </c>
      <c r="U65" s="88">
        <f t="shared" si="43"/>
        <v>17</v>
      </c>
      <c r="V65" s="88">
        <f t="shared" si="43"/>
        <v>18</v>
      </c>
      <c r="W65" s="88">
        <f t="shared" si="43"/>
        <v>19</v>
      </c>
      <c r="X65" s="88">
        <f t="shared" si="43"/>
        <v>20</v>
      </c>
      <c r="Y65" s="88">
        <f t="shared" si="43"/>
        <v>21</v>
      </c>
      <c r="Z65" s="88">
        <f t="shared" si="43"/>
        <v>22</v>
      </c>
      <c r="AA65" s="88">
        <f t="shared" si="43"/>
        <v>23</v>
      </c>
      <c r="AB65" s="88">
        <f t="shared" si="43"/>
        <v>24</v>
      </c>
      <c r="AC65" s="88">
        <f t="shared" si="43"/>
        <v>25</v>
      </c>
      <c r="AD65" s="88">
        <f t="shared" si="43"/>
        <v>26</v>
      </c>
      <c r="AE65" s="88">
        <f t="shared" si="43"/>
        <v>27</v>
      </c>
      <c r="AF65" s="88">
        <f t="shared" si="43"/>
        <v>28</v>
      </c>
      <c r="AG65" s="88">
        <f t="shared" si="43"/>
        <v>29</v>
      </c>
      <c r="AH65" s="88">
        <f t="shared" si="43"/>
        <v>30</v>
      </c>
      <c r="AI65" s="88">
        <f t="shared" si="43"/>
        <v>31</v>
      </c>
      <c r="AJ65" s="88">
        <f t="shared" si="43"/>
        <v>32</v>
      </c>
      <c r="AK65" s="88">
        <f t="shared" si="43"/>
        <v>33</v>
      </c>
      <c r="AL65" s="88">
        <f t="shared" si="43"/>
        <v>34</v>
      </c>
      <c r="AM65" s="88">
        <f t="shared" si="43"/>
        <v>35</v>
      </c>
    </row>
    <row r="66" spans="2:41">
      <c r="C66" s="87">
        <f t="array" ref="C66:C100">TRANSPOSE($E$27:$AM$27)</f>
        <v>1</v>
      </c>
      <c r="D66" s="91">
        <f t="array" ref="D66:D100">TRANSPOSE($E$7:$AM$7)</f>
        <v>9919.5956445079792</v>
      </c>
      <c r="E66" s="80">
        <f>$D66/$C$7/2</f>
        <v>991.95956445079787</v>
      </c>
      <c r="F66" s="80">
        <f>$D66/$C$7</f>
        <v>1983.9191289015957</v>
      </c>
      <c r="G66" s="80">
        <f>F66</f>
        <v>1983.9191289015957</v>
      </c>
      <c r="H66" s="80">
        <f>G66</f>
        <v>1983.9191289015957</v>
      </c>
      <c r="I66" s="80">
        <f>H66</f>
        <v>1983.9191289015957</v>
      </c>
      <c r="J66" s="80">
        <f>$D66/$C$7/2</f>
        <v>991.95956445079787</v>
      </c>
      <c r="K66" s="90"/>
      <c r="L66" s="90"/>
      <c r="M66" s="90"/>
      <c r="N66" s="90"/>
      <c r="O66" s="90"/>
      <c r="P66" s="90"/>
      <c r="Q66" s="90"/>
      <c r="R66" s="90"/>
      <c r="S66" s="90"/>
      <c r="T66" s="90"/>
      <c r="U66" s="90"/>
      <c r="V66" s="90"/>
      <c r="W66" s="90"/>
      <c r="X66" s="90"/>
      <c r="Y66" s="90"/>
      <c r="Z66" s="90"/>
      <c r="AA66" s="90"/>
      <c r="AB66" s="90"/>
      <c r="AC66" s="90"/>
      <c r="AD66" s="90"/>
      <c r="AE66" s="90"/>
      <c r="AF66" s="90"/>
      <c r="AG66" s="90"/>
      <c r="AH66" s="90"/>
      <c r="AI66" s="90"/>
      <c r="AJ66" s="90"/>
      <c r="AK66" s="90"/>
      <c r="AL66" s="90"/>
      <c r="AM66" s="90"/>
      <c r="AN66" s="78">
        <f t="shared" ref="AN66:AN100" si="44">SUM(E66:AM66)</f>
        <v>9919.5956445079792</v>
      </c>
      <c r="AO66" s="68" t="str">
        <f t="shared" ref="AO66:AO100" si="45">IF(ROUND(AN66-D66,0)=0,"ok",AN66-D66)</f>
        <v>ok</v>
      </c>
    </row>
    <row r="67" spans="2:41">
      <c r="C67" s="87">
        <v>2</v>
      </c>
      <c r="D67" s="91">
        <v>5398.7440224806041</v>
      </c>
      <c r="E67" s="90"/>
      <c r="F67" s="80">
        <f>$D67/$C$7/2</f>
        <v>539.87440224806039</v>
      </c>
      <c r="G67" s="80">
        <f>$D67/$C$7</f>
        <v>1079.7488044961208</v>
      </c>
      <c r="H67" s="80">
        <f>G67</f>
        <v>1079.7488044961208</v>
      </c>
      <c r="I67" s="80">
        <f>H67</f>
        <v>1079.7488044961208</v>
      </c>
      <c r="J67" s="80">
        <f>I67</f>
        <v>1079.7488044961208</v>
      </c>
      <c r="K67" s="80">
        <f>$D67/$C$7/2</f>
        <v>539.87440224806039</v>
      </c>
      <c r="L67" s="90"/>
      <c r="M67" s="90"/>
      <c r="N67" s="90"/>
      <c r="O67" s="90"/>
      <c r="P67" s="90"/>
      <c r="Q67" s="90"/>
      <c r="R67" s="90"/>
      <c r="S67" s="90"/>
      <c r="T67" s="90"/>
      <c r="U67" s="90"/>
      <c r="V67" s="90"/>
      <c r="W67" s="90"/>
      <c r="X67" s="90"/>
      <c r="Y67" s="90"/>
      <c r="Z67" s="90"/>
      <c r="AA67" s="90"/>
      <c r="AB67" s="90"/>
      <c r="AC67" s="90"/>
      <c r="AD67" s="90"/>
      <c r="AE67" s="90"/>
      <c r="AF67" s="90"/>
      <c r="AG67" s="90"/>
      <c r="AH67" s="90"/>
      <c r="AI67" s="90"/>
      <c r="AJ67" s="90"/>
      <c r="AK67" s="90"/>
      <c r="AL67" s="90"/>
      <c r="AM67" s="90"/>
      <c r="AN67" s="78">
        <f t="shared" si="44"/>
        <v>5398.7440224806041</v>
      </c>
      <c r="AO67" s="68" t="str">
        <f t="shared" si="45"/>
        <v>ok</v>
      </c>
    </row>
    <row r="68" spans="2:41">
      <c r="C68" s="87">
        <v>3</v>
      </c>
      <c r="D68" s="91">
        <v>1646.7005958226571</v>
      </c>
      <c r="E68" s="90"/>
      <c r="F68" s="90"/>
      <c r="G68" s="80">
        <f>$D68/$C$7/2</f>
        <v>164.67005958226571</v>
      </c>
      <c r="H68" s="80">
        <f>$D68/$C$7</f>
        <v>329.34011916453142</v>
      </c>
      <c r="I68" s="80">
        <f>H68</f>
        <v>329.34011916453142</v>
      </c>
      <c r="J68" s="80">
        <f>I68</f>
        <v>329.34011916453142</v>
      </c>
      <c r="K68" s="80">
        <f>J68</f>
        <v>329.34011916453142</v>
      </c>
      <c r="L68" s="80">
        <f>$D68/$C$7/2</f>
        <v>164.67005958226571</v>
      </c>
      <c r="M68" s="90"/>
      <c r="N68" s="90"/>
      <c r="O68" s="90"/>
      <c r="P68" s="90"/>
      <c r="Q68" s="90"/>
      <c r="R68" s="90"/>
      <c r="S68" s="90"/>
      <c r="T68" s="90"/>
      <c r="U68" s="90"/>
      <c r="V68" s="90"/>
      <c r="W68" s="90"/>
      <c r="X68" s="90"/>
      <c r="Y68" s="90"/>
      <c r="Z68" s="90"/>
      <c r="AA68" s="90"/>
      <c r="AB68" s="90"/>
      <c r="AC68" s="90"/>
      <c r="AD68" s="90"/>
      <c r="AE68" s="90"/>
      <c r="AF68" s="90"/>
      <c r="AG68" s="90"/>
      <c r="AH68" s="90"/>
      <c r="AI68" s="90"/>
      <c r="AJ68" s="90"/>
      <c r="AK68" s="90"/>
      <c r="AL68" s="90"/>
      <c r="AM68" s="90"/>
      <c r="AN68" s="78">
        <f t="shared" si="44"/>
        <v>1646.7005958226569</v>
      </c>
      <c r="AO68" s="68" t="str">
        <f t="shared" si="45"/>
        <v>ok</v>
      </c>
    </row>
    <row r="69" spans="2:41">
      <c r="C69" s="87">
        <v>4</v>
      </c>
      <c r="D69" s="91">
        <v>367.66711972500002</v>
      </c>
      <c r="E69" s="90"/>
      <c r="F69" s="90"/>
      <c r="G69" s="90"/>
      <c r="H69" s="80">
        <f>$D69/$C$7/2</f>
        <v>36.766711972500005</v>
      </c>
      <c r="I69" s="80">
        <f>$D69/$C$7</f>
        <v>73.53342394500001</v>
      </c>
      <c r="J69" s="80">
        <f>I69</f>
        <v>73.53342394500001</v>
      </c>
      <c r="K69" s="80">
        <f>J69</f>
        <v>73.53342394500001</v>
      </c>
      <c r="L69" s="80">
        <f>K69</f>
        <v>73.53342394500001</v>
      </c>
      <c r="M69" s="80">
        <f>$D69/$C$7/2</f>
        <v>36.766711972500005</v>
      </c>
      <c r="N69" s="90"/>
      <c r="O69" s="90"/>
      <c r="P69" s="90"/>
      <c r="Q69" s="90"/>
      <c r="R69" s="90"/>
      <c r="S69" s="90"/>
      <c r="T69" s="90"/>
      <c r="U69" s="90"/>
      <c r="V69" s="90"/>
      <c r="W69" s="90"/>
      <c r="X69" s="90"/>
      <c r="Y69" s="90"/>
      <c r="Z69" s="90"/>
      <c r="AA69" s="90"/>
      <c r="AB69" s="90"/>
      <c r="AC69" s="90"/>
      <c r="AD69" s="90"/>
      <c r="AE69" s="90"/>
      <c r="AF69" s="90"/>
      <c r="AG69" s="90"/>
      <c r="AH69" s="90"/>
      <c r="AI69" s="90"/>
      <c r="AJ69" s="90"/>
      <c r="AK69" s="90"/>
      <c r="AL69" s="90"/>
      <c r="AM69" s="90"/>
      <c r="AN69" s="78">
        <f t="shared" si="44"/>
        <v>367.66711972499996</v>
      </c>
      <c r="AO69" s="68" t="str">
        <f t="shared" si="45"/>
        <v>ok</v>
      </c>
    </row>
    <row r="70" spans="2:41">
      <c r="C70" s="87">
        <v>5</v>
      </c>
      <c r="D70" s="91">
        <v>140.34109760000001</v>
      </c>
      <c r="E70" s="90"/>
      <c r="F70" s="90"/>
      <c r="G70" s="90"/>
      <c r="H70" s="90"/>
      <c r="I70" s="80">
        <f>$D70/$C$7/2</f>
        <v>14.034109760000002</v>
      </c>
      <c r="J70" s="80">
        <f>$D70/$C$7</f>
        <v>28.068219520000003</v>
      </c>
      <c r="K70" s="80">
        <f>J70</f>
        <v>28.068219520000003</v>
      </c>
      <c r="L70" s="80">
        <f>K70</f>
        <v>28.068219520000003</v>
      </c>
      <c r="M70" s="80">
        <f>L70</f>
        <v>28.068219520000003</v>
      </c>
      <c r="N70" s="80">
        <f>$D70/$C$7/2</f>
        <v>14.034109760000002</v>
      </c>
      <c r="O70" s="90"/>
      <c r="P70" s="90"/>
      <c r="Q70" s="90"/>
      <c r="R70" s="90"/>
      <c r="S70" s="90"/>
      <c r="T70" s="90"/>
      <c r="U70" s="90"/>
      <c r="V70" s="90"/>
      <c r="W70" s="90"/>
      <c r="X70" s="90"/>
      <c r="Y70" s="90"/>
      <c r="Z70" s="90"/>
      <c r="AA70" s="90"/>
      <c r="AB70" s="90"/>
      <c r="AC70" s="90"/>
      <c r="AD70" s="90"/>
      <c r="AE70" s="90"/>
      <c r="AF70" s="90"/>
      <c r="AG70" s="90"/>
      <c r="AH70" s="90"/>
      <c r="AI70" s="90"/>
      <c r="AJ70" s="90"/>
      <c r="AK70" s="90"/>
      <c r="AL70" s="90"/>
      <c r="AM70" s="90"/>
      <c r="AN70" s="78">
        <f t="shared" si="44"/>
        <v>140.34109760000001</v>
      </c>
      <c r="AO70" s="68" t="str">
        <f t="shared" si="45"/>
        <v>ok</v>
      </c>
    </row>
    <row r="71" spans="2:41">
      <c r="C71" s="87">
        <v>6</v>
      </c>
      <c r="D71" s="91">
        <v>514.96414800000002</v>
      </c>
      <c r="E71" s="90"/>
      <c r="F71" s="90"/>
      <c r="G71" s="90"/>
      <c r="H71" s="90"/>
      <c r="I71" s="90"/>
      <c r="J71" s="80">
        <f>$D71/$C$7/2</f>
        <v>51.496414800000004</v>
      </c>
      <c r="K71" s="80">
        <f>$D71/$C$7</f>
        <v>102.99282960000001</v>
      </c>
      <c r="L71" s="80">
        <f>K71</f>
        <v>102.99282960000001</v>
      </c>
      <c r="M71" s="80">
        <f>L71</f>
        <v>102.99282960000001</v>
      </c>
      <c r="N71" s="80">
        <f>M71</f>
        <v>102.99282960000001</v>
      </c>
      <c r="O71" s="80">
        <f>$D71/$C$7/2</f>
        <v>51.496414800000004</v>
      </c>
      <c r="P71" s="90"/>
      <c r="Q71" s="90"/>
      <c r="R71" s="90"/>
      <c r="S71" s="90"/>
      <c r="T71" s="90"/>
      <c r="U71" s="90"/>
      <c r="V71" s="90"/>
      <c r="W71" s="90"/>
      <c r="X71" s="90"/>
      <c r="Y71" s="90"/>
      <c r="Z71" s="90"/>
      <c r="AA71" s="90"/>
      <c r="AB71" s="90"/>
      <c r="AC71" s="90"/>
      <c r="AD71" s="90"/>
      <c r="AE71" s="90"/>
      <c r="AF71" s="90"/>
      <c r="AG71" s="90"/>
      <c r="AH71" s="90"/>
      <c r="AI71" s="90"/>
      <c r="AJ71" s="90"/>
      <c r="AK71" s="90"/>
      <c r="AL71" s="90"/>
      <c r="AM71" s="90"/>
      <c r="AN71" s="78">
        <f t="shared" si="44"/>
        <v>514.96414800000002</v>
      </c>
      <c r="AO71" s="68" t="str">
        <f t="shared" si="45"/>
        <v>ok</v>
      </c>
    </row>
    <row r="72" spans="2:41">
      <c r="C72" s="87">
        <v>7</v>
      </c>
      <c r="D72" s="91">
        <v>797.30138431250009</v>
      </c>
      <c r="E72" s="90"/>
      <c r="F72" s="90"/>
      <c r="G72" s="90"/>
      <c r="H72" s="90"/>
      <c r="I72" s="90"/>
      <c r="J72" s="90"/>
      <c r="K72" s="80">
        <f>$D72/$C$7/2</f>
        <v>79.730138431250012</v>
      </c>
      <c r="L72" s="80">
        <f>$D72/$C$7</f>
        <v>159.46027686250002</v>
      </c>
      <c r="M72" s="80">
        <f>L72</f>
        <v>159.46027686250002</v>
      </c>
      <c r="N72" s="80">
        <f>M72</f>
        <v>159.46027686250002</v>
      </c>
      <c r="O72" s="80">
        <f>N72</f>
        <v>159.46027686250002</v>
      </c>
      <c r="P72" s="80">
        <f>$D72/$C$7/2</f>
        <v>79.730138431250012</v>
      </c>
      <c r="Q72" s="90"/>
      <c r="R72" s="90"/>
      <c r="S72" s="90"/>
      <c r="T72" s="90"/>
      <c r="U72" s="90"/>
      <c r="V72" s="90"/>
      <c r="W72" s="90"/>
      <c r="X72" s="90"/>
      <c r="Y72" s="90"/>
      <c r="Z72" s="90"/>
      <c r="AA72" s="90"/>
      <c r="AB72" s="90"/>
      <c r="AC72" s="90"/>
      <c r="AD72" s="90"/>
      <c r="AE72" s="90"/>
      <c r="AF72" s="90"/>
      <c r="AG72" s="90"/>
      <c r="AH72" s="90"/>
      <c r="AI72" s="90"/>
      <c r="AJ72" s="90"/>
      <c r="AK72" s="90"/>
      <c r="AL72" s="90"/>
      <c r="AM72" s="90"/>
      <c r="AN72" s="78">
        <f t="shared" si="44"/>
        <v>797.30138431250009</v>
      </c>
      <c r="AO72" s="68" t="str">
        <f t="shared" si="45"/>
        <v>ok</v>
      </c>
    </row>
    <row r="73" spans="2:41">
      <c r="C73" s="87">
        <v>8</v>
      </c>
      <c r="D73" s="91">
        <v>317.53280000000007</v>
      </c>
      <c r="E73" s="90"/>
      <c r="F73" s="90"/>
      <c r="G73" s="90"/>
      <c r="H73" s="90"/>
      <c r="I73" s="90"/>
      <c r="J73" s="90"/>
      <c r="K73" s="90"/>
      <c r="L73" s="80">
        <f>$D73/$C$7/2</f>
        <v>31.753280000000007</v>
      </c>
      <c r="M73" s="80">
        <f>$D73/$C$7</f>
        <v>63.506560000000015</v>
      </c>
      <c r="N73" s="80">
        <f>M73</f>
        <v>63.506560000000015</v>
      </c>
      <c r="O73" s="80">
        <f>N73</f>
        <v>63.506560000000015</v>
      </c>
      <c r="P73" s="80">
        <f>O73</f>
        <v>63.506560000000015</v>
      </c>
      <c r="Q73" s="80">
        <f>$D73/$C$7/2</f>
        <v>31.753280000000007</v>
      </c>
      <c r="R73" s="90"/>
      <c r="S73" s="90"/>
      <c r="T73" s="90"/>
      <c r="U73" s="90"/>
      <c r="V73" s="90"/>
      <c r="W73" s="90"/>
      <c r="X73" s="90"/>
      <c r="Y73" s="90"/>
      <c r="Z73" s="90"/>
      <c r="AA73" s="90"/>
      <c r="AB73" s="90"/>
      <c r="AC73" s="90"/>
      <c r="AD73" s="90"/>
      <c r="AE73" s="90"/>
      <c r="AF73" s="90"/>
      <c r="AG73" s="90"/>
      <c r="AH73" s="90"/>
      <c r="AI73" s="90"/>
      <c r="AJ73" s="90"/>
      <c r="AK73" s="90"/>
      <c r="AL73" s="90"/>
      <c r="AM73" s="90"/>
      <c r="AN73" s="78">
        <f t="shared" si="44"/>
        <v>317.53280000000007</v>
      </c>
      <c r="AO73" s="68" t="str">
        <f t="shared" si="45"/>
        <v>ok</v>
      </c>
    </row>
    <row r="74" spans="2:41">
      <c r="C74" s="87">
        <v>9</v>
      </c>
      <c r="D74" s="91">
        <v>1332.8662550449219</v>
      </c>
      <c r="E74" s="90"/>
      <c r="F74" s="90"/>
      <c r="G74" s="90"/>
      <c r="H74" s="90"/>
      <c r="I74" s="90"/>
      <c r="J74" s="90"/>
      <c r="K74" s="90"/>
      <c r="L74" s="90"/>
      <c r="M74" s="80">
        <f>$D74/$C$7/2</f>
        <v>133.28662550449218</v>
      </c>
      <c r="N74" s="80">
        <f>$D74/$C$7</f>
        <v>266.57325100898436</v>
      </c>
      <c r="O74" s="80">
        <f>N74</f>
        <v>266.57325100898436</v>
      </c>
      <c r="P74" s="80">
        <f>O74</f>
        <v>266.57325100898436</v>
      </c>
      <c r="Q74" s="80">
        <f>P74</f>
        <v>266.57325100898436</v>
      </c>
      <c r="R74" s="80">
        <f>$D74/$C$7/2</f>
        <v>133.28662550449218</v>
      </c>
      <c r="S74" s="90"/>
      <c r="T74" s="90"/>
      <c r="U74" s="90"/>
      <c r="V74" s="90"/>
      <c r="W74" s="90"/>
      <c r="X74" s="90"/>
      <c r="Y74" s="90"/>
      <c r="Z74" s="90"/>
      <c r="AA74" s="90"/>
      <c r="AB74" s="90"/>
      <c r="AC74" s="90"/>
      <c r="AD74" s="90"/>
      <c r="AE74" s="90"/>
      <c r="AF74" s="90"/>
      <c r="AG74" s="90"/>
      <c r="AH74" s="90"/>
      <c r="AI74" s="90"/>
      <c r="AJ74" s="90"/>
      <c r="AK74" s="90"/>
      <c r="AL74" s="90"/>
      <c r="AM74" s="90"/>
      <c r="AN74" s="78">
        <f t="shared" si="44"/>
        <v>1332.8662550449217</v>
      </c>
      <c r="AO74" s="68" t="str">
        <f t="shared" si="45"/>
        <v>ok</v>
      </c>
    </row>
    <row r="75" spans="2:41">
      <c r="C75" s="87">
        <v>10</v>
      </c>
      <c r="D75" s="91">
        <v>499.69838906250004</v>
      </c>
      <c r="E75" s="90"/>
      <c r="F75" s="90"/>
      <c r="G75" s="90"/>
      <c r="H75" s="90"/>
      <c r="I75" s="90"/>
      <c r="J75" s="90"/>
      <c r="K75" s="90"/>
      <c r="L75" s="90"/>
      <c r="M75" s="90"/>
      <c r="N75" s="80">
        <f>$D75/$C$7/2</f>
        <v>49.969838906250004</v>
      </c>
      <c r="O75" s="80">
        <f>$D75/$C$7</f>
        <v>99.939677812500008</v>
      </c>
      <c r="P75" s="80">
        <f>O75</f>
        <v>99.939677812500008</v>
      </c>
      <c r="Q75" s="80">
        <f>P75</f>
        <v>99.939677812500008</v>
      </c>
      <c r="R75" s="80">
        <f>Q75</f>
        <v>99.939677812500008</v>
      </c>
      <c r="S75" s="80">
        <f>$D75/$C$7/2</f>
        <v>49.969838906250004</v>
      </c>
      <c r="T75" s="90"/>
      <c r="U75" s="90"/>
      <c r="V75" s="90"/>
      <c r="W75" s="90"/>
      <c r="X75" s="90"/>
      <c r="Y75" s="90"/>
      <c r="Z75" s="90"/>
      <c r="AA75" s="90"/>
      <c r="AB75" s="90"/>
      <c r="AC75" s="90"/>
      <c r="AD75" s="90"/>
      <c r="AE75" s="90"/>
      <c r="AF75" s="90"/>
      <c r="AG75" s="90"/>
      <c r="AH75" s="90"/>
      <c r="AI75" s="90"/>
      <c r="AJ75" s="90"/>
      <c r="AK75" s="90"/>
      <c r="AL75" s="90"/>
      <c r="AM75" s="90"/>
      <c r="AN75" s="78">
        <f t="shared" si="44"/>
        <v>499.69838906250004</v>
      </c>
      <c r="AO75" s="68" t="str">
        <f t="shared" si="45"/>
        <v>ok</v>
      </c>
    </row>
    <row r="76" spans="2:41">
      <c r="C76" s="87">
        <v>11</v>
      </c>
      <c r="D76" s="91">
        <v>2838.3173468749997</v>
      </c>
      <c r="E76" s="90"/>
      <c r="F76" s="90"/>
      <c r="G76" s="90"/>
      <c r="H76" s="90"/>
      <c r="I76" s="90"/>
      <c r="J76" s="90"/>
      <c r="K76" s="90"/>
      <c r="L76" s="90"/>
      <c r="M76" s="90"/>
      <c r="N76" s="90"/>
      <c r="O76" s="80">
        <f>$D76/$C$7/2</f>
        <v>283.83173468749999</v>
      </c>
      <c r="P76" s="80">
        <f>$D76/$C$7</f>
        <v>567.66346937499998</v>
      </c>
      <c r="Q76" s="80">
        <f>P76</f>
        <v>567.66346937499998</v>
      </c>
      <c r="R76" s="80">
        <f>Q76</f>
        <v>567.66346937499998</v>
      </c>
      <c r="S76" s="80">
        <f>R76</f>
        <v>567.66346937499998</v>
      </c>
      <c r="T76" s="80">
        <f>$D76/$C$7/2</f>
        <v>283.83173468749999</v>
      </c>
      <c r="U76" s="90"/>
      <c r="V76" s="90"/>
      <c r="W76" s="90"/>
      <c r="X76" s="90"/>
      <c r="Y76" s="90"/>
      <c r="Z76" s="90"/>
      <c r="AA76" s="90"/>
      <c r="AB76" s="90"/>
      <c r="AC76" s="90"/>
      <c r="AD76" s="90"/>
      <c r="AE76" s="90"/>
      <c r="AF76" s="90"/>
      <c r="AG76" s="90"/>
      <c r="AH76" s="90"/>
      <c r="AI76" s="90"/>
      <c r="AJ76" s="90"/>
      <c r="AK76" s="90"/>
      <c r="AL76" s="90"/>
      <c r="AM76" s="90"/>
      <c r="AN76" s="78">
        <f t="shared" si="44"/>
        <v>2838.3173468750001</v>
      </c>
      <c r="AO76" s="68" t="str">
        <f t="shared" si="45"/>
        <v>ok</v>
      </c>
    </row>
    <row r="77" spans="2:41">
      <c r="C77" s="87">
        <v>12</v>
      </c>
      <c r="D77" s="91">
        <v>0</v>
      </c>
      <c r="E77" s="90"/>
      <c r="F77" s="90"/>
      <c r="G77" s="90"/>
      <c r="H77" s="90"/>
      <c r="I77" s="90"/>
      <c r="J77" s="90"/>
      <c r="K77" s="90"/>
      <c r="L77" s="90"/>
      <c r="M77" s="90"/>
      <c r="N77" s="90"/>
      <c r="O77" s="90"/>
      <c r="P77" s="80">
        <f>$D77/$C$7/2</f>
        <v>0</v>
      </c>
      <c r="Q77" s="80">
        <f>$D77/$C$7</f>
        <v>0</v>
      </c>
      <c r="R77" s="80">
        <f>Q77</f>
        <v>0</v>
      </c>
      <c r="S77" s="80">
        <f>R77</f>
        <v>0</v>
      </c>
      <c r="T77" s="80">
        <f>S77</f>
        <v>0</v>
      </c>
      <c r="U77" s="80">
        <f>$D77/$C$7/2</f>
        <v>0</v>
      </c>
      <c r="V77" s="90"/>
      <c r="W77" s="90"/>
      <c r="X77" s="90"/>
      <c r="Y77" s="90"/>
      <c r="Z77" s="90"/>
      <c r="AA77" s="90"/>
      <c r="AB77" s="90"/>
      <c r="AC77" s="90"/>
      <c r="AD77" s="90"/>
      <c r="AE77" s="90"/>
      <c r="AF77" s="90"/>
      <c r="AG77" s="90"/>
      <c r="AH77" s="90"/>
      <c r="AI77" s="90"/>
      <c r="AJ77" s="90"/>
      <c r="AK77" s="90"/>
      <c r="AL77" s="90"/>
      <c r="AM77" s="90"/>
      <c r="AN77" s="78">
        <f t="shared" si="44"/>
        <v>0</v>
      </c>
      <c r="AO77" s="68" t="str">
        <f t="shared" si="45"/>
        <v>ok</v>
      </c>
    </row>
    <row r="78" spans="2:41">
      <c r="C78" s="87">
        <v>13</v>
      </c>
      <c r="D78" s="91">
        <v>645.35598906250004</v>
      </c>
      <c r="E78" s="90"/>
      <c r="F78" s="90"/>
      <c r="G78" s="90"/>
      <c r="H78" s="90"/>
      <c r="I78" s="90"/>
      <c r="J78" s="90"/>
      <c r="K78" s="90"/>
      <c r="L78" s="90"/>
      <c r="M78" s="90"/>
      <c r="N78" s="90"/>
      <c r="O78" s="90"/>
      <c r="P78" s="90"/>
      <c r="Q78" s="80">
        <f>$D78/$C$7/2</f>
        <v>64.535598906250002</v>
      </c>
      <c r="R78" s="80">
        <f>$D78/$C$7</f>
        <v>129.0711978125</v>
      </c>
      <c r="S78" s="80">
        <f>R78</f>
        <v>129.0711978125</v>
      </c>
      <c r="T78" s="80">
        <f>S78</f>
        <v>129.0711978125</v>
      </c>
      <c r="U78" s="80">
        <f>T78</f>
        <v>129.0711978125</v>
      </c>
      <c r="V78" s="80">
        <f>$D78/$C$7/2</f>
        <v>64.535598906250002</v>
      </c>
      <c r="W78" s="90"/>
      <c r="X78" s="90"/>
      <c r="Y78" s="90"/>
      <c r="Z78" s="90"/>
      <c r="AA78" s="90"/>
      <c r="AB78" s="90"/>
      <c r="AC78" s="90"/>
      <c r="AD78" s="90"/>
      <c r="AE78" s="90"/>
      <c r="AF78" s="90"/>
      <c r="AG78" s="90"/>
      <c r="AH78" s="90"/>
      <c r="AI78" s="90"/>
      <c r="AJ78" s="90"/>
      <c r="AK78" s="90"/>
      <c r="AL78" s="90"/>
      <c r="AM78" s="90"/>
      <c r="AN78" s="78">
        <f t="shared" si="44"/>
        <v>645.35598906250004</v>
      </c>
      <c r="AO78" s="68" t="str">
        <f t="shared" si="45"/>
        <v>ok</v>
      </c>
    </row>
    <row r="79" spans="2:41">
      <c r="C79" s="87">
        <v>14</v>
      </c>
      <c r="D79" s="91">
        <v>11741.873168716796</v>
      </c>
      <c r="E79" s="90"/>
      <c r="F79" s="90"/>
      <c r="G79" s="90"/>
      <c r="H79" s="90"/>
      <c r="I79" s="90"/>
      <c r="J79" s="90"/>
      <c r="K79" s="90"/>
      <c r="L79" s="90"/>
      <c r="M79" s="90"/>
      <c r="N79" s="90"/>
      <c r="O79" s="90"/>
      <c r="P79" s="90"/>
      <c r="Q79" s="90"/>
      <c r="R79" s="80">
        <f>$D79/$C$7/2</f>
        <v>1174.1873168716797</v>
      </c>
      <c r="S79" s="80">
        <f>$D79/$C$7</f>
        <v>2348.3746337433595</v>
      </c>
      <c r="T79" s="80">
        <f>S79</f>
        <v>2348.3746337433595</v>
      </c>
      <c r="U79" s="80">
        <f>T79</f>
        <v>2348.3746337433595</v>
      </c>
      <c r="V79" s="80">
        <f>U79</f>
        <v>2348.3746337433595</v>
      </c>
      <c r="W79" s="80">
        <f>$D79/$C$7/2</f>
        <v>1174.1873168716797</v>
      </c>
      <c r="X79" s="90"/>
      <c r="Y79" s="90"/>
      <c r="Z79" s="90"/>
      <c r="AA79" s="90"/>
      <c r="AB79" s="90"/>
      <c r="AC79" s="90"/>
      <c r="AD79" s="90"/>
      <c r="AE79" s="90"/>
      <c r="AF79" s="90"/>
      <c r="AG79" s="90"/>
      <c r="AH79" s="90"/>
      <c r="AI79" s="90"/>
      <c r="AJ79" s="90"/>
      <c r="AK79" s="90"/>
      <c r="AL79" s="90"/>
      <c r="AM79" s="90"/>
      <c r="AN79" s="78">
        <f t="shared" si="44"/>
        <v>11741.873168716795</v>
      </c>
      <c r="AO79" s="68" t="str">
        <f t="shared" si="45"/>
        <v>ok</v>
      </c>
    </row>
    <row r="80" spans="2:41">
      <c r="C80" s="87">
        <v>15</v>
      </c>
      <c r="D80" s="91">
        <v>1325.1904</v>
      </c>
      <c r="E80" s="90"/>
      <c r="F80" s="90"/>
      <c r="G80" s="90"/>
      <c r="H80" s="90"/>
      <c r="I80" s="90"/>
      <c r="J80" s="90"/>
      <c r="K80" s="90"/>
      <c r="L80" s="90"/>
      <c r="M80" s="90"/>
      <c r="N80" s="90"/>
      <c r="O80" s="90"/>
      <c r="P80" s="90"/>
      <c r="Q80" s="90"/>
      <c r="R80" s="90"/>
      <c r="S80" s="80">
        <f>$D80/$C$7/2</f>
        <v>132.51903999999999</v>
      </c>
      <c r="T80" s="80">
        <f>$D80/$C$7</f>
        <v>265.03807999999998</v>
      </c>
      <c r="U80" s="80">
        <f>T80</f>
        <v>265.03807999999998</v>
      </c>
      <c r="V80" s="80">
        <f>U80</f>
        <v>265.03807999999998</v>
      </c>
      <c r="W80" s="80">
        <f>V80</f>
        <v>265.03807999999998</v>
      </c>
      <c r="X80" s="80">
        <f>$D80/$C$7/2</f>
        <v>132.51903999999999</v>
      </c>
      <c r="Y80" s="90"/>
      <c r="Z80" s="90"/>
      <c r="AA80" s="90"/>
      <c r="AB80" s="90"/>
      <c r="AC80" s="90"/>
      <c r="AD80" s="90"/>
      <c r="AE80" s="90"/>
      <c r="AF80" s="90"/>
      <c r="AG80" s="90"/>
      <c r="AH80" s="90"/>
      <c r="AI80" s="90"/>
      <c r="AJ80" s="90"/>
      <c r="AK80" s="90"/>
      <c r="AL80" s="90"/>
      <c r="AM80" s="90"/>
      <c r="AN80" s="78">
        <f t="shared" si="44"/>
        <v>1325.1904</v>
      </c>
      <c r="AO80" s="68" t="str">
        <f t="shared" si="45"/>
        <v>ok</v>
      </c>
    </row>
    <row r="81" spans="3:42">
      <c r="C81" s="87">
        <v>16</v>
      </c>
      <c r="D81" s="91">
        <v>1621.5813890625</v>
      </c>
      <c r="E81" s="90"/>
      <c r="F81" s="90"/>
      <c r="G81" s="90"/>
      <c r="H81" s="90"/>
      <c r="I81" s="90"/>
      <c r="J81" s="90"/>
      <c r="K81" s="90"/>
      <c r="L81" s="90"/>
      <c r="M81" s="90"/>
      <c r="N81" s="90"/>
      <c r="O81" s="90"/>
      <c r="P81" s="90"/>
      <c r="Q81" s="90"/>
      <c r="R81" s="90"/>
      <c r="S81" s="90"/>
      <c r="T81" s="80">
        <f>$D81/$C$7/2</f>
        <v>162.15813890625</v>
      </c>
      <c r="U81" s="80">
        <f>$D81/$C$7</f>
        <v>324.3162778125</v>
      </c>
      <c r="V81" s="80">
        <f>U81</f>
        <v>324.3162778125</v>
      </c>
      <c r="W81" s="80">
        <f>V81</f>
        <v>324.3162778125</v>
      </c>
      <c r="X81" s="80">
        <f>W81</f>
        <v>324.3162778125</v>
      </c>
      <c r="Y81" s="80">
        <f>$D81/$C$7/2</f>
        <v>162.15813890625</v>
      </c>
      <c r="Z81" s="90"/>
      <c r="AA81" s="90"/>
      <c r="AB81" s="90"/>
      <c r="AC81" s="90"/>
      <c r="AD81" s="90"/>
      <c r="AE81" s="90"/>
      <c r="AF81" s="90"/>
      <c r="AG81" s="90"/>
      <c r="AH81" s="90"/>
      <c r="AI81" s="90"/>
      <c r="AJ81" s="90"/>
      <c r="AK81" s="90"/>
      <c r="AL81" s="90"/>
      <c r="AM81" s="90"/>
      <c r="AN81" s="78">
        <f t="shared" si="44"/>
        <v>1621.5813890625</v>
      </c>
      <c r="AO81" s="68" t="str">
        <f t="shared" si="45"/>
        <v>ok</v>
      </c>
    </row>
    <row r="82" spans="3:42">
      <c r="C82" s="87">
        <v>17</v>
      </c>
      <c r="D82" s="91">
        <v>1900.3029733208</v>
      </c>
      <c r="E82" s="90"/>
      <c r="F82" s="90"/>
      <c r="G82" s="90"/>
      <c r="H82" s="90"/>
      <c r="I82" s="90"/>
      <c r="J82" s="90"/>
      <c r="K82" s="90"/>
      <c r="L82" s="90"/>
      <c r="M82" s="90"/>
      <c r="N82" s="90"/>
      <c r="O82" s="90"/>
      <c r="P82" s="90"/>
      <c r="Q82" s="90"/>
      <c r="R82" s="90"/>
      <c r="S82" s="90"/>
      <c r="T82" s="90"/>
      <c r="U82" s="80">
        <f>$D82/$C$7/2</f>
        <v>190.03029733208001</v>
      </c>
      <c r="V82" s="80">
        <f>$D82/$C$7</f>
        <v>380.06059466416002</v>
      </c>
      <c r="W82" s="80">
        <f>V82</f>
        <v>380.06059466416002</v>
      </c>
      <c r="X82" s="80">
        <f>W82</f>
        <v>380.06059466416002</v>
      </c>
      <c r="Y82" s="80">
        <f>X82</f>
        <v>380.06059466416002</v>
      </c>
      <c r="Z82" s="80">
        <f>$D82/$C$7/2</f>
        <v>190.03029733208001</v>
      </c>
      <c r="AA82" s="90"/>
      <c r="AB82" s="90"/>
      <c r="AC82" s="90"/>
      <c r="AD82" s="90"/>
      <c r="AE82" s="90"/>
      <c r="AF82" s="90"/>
      <c r="AG82" s="90"/>
      <c r="AH82" s="90"/>
      <c r="AI82" s="90"/>
      <c r="AJ82" s="90"/>
      <c r="AK82" s="90"/>
      <c r="AL82" s="90"/>
      <c r="AM82" s="90"/>
      <c r="AN82" s="78">
        <f t="shared" si="44"/>
        <v>1900.3029733208</v>
      </c>
      <c r="AO82" s="68" t="str">
        <f t="shared" si="45"/>
        <v>ok</v>
      </c>
    </row>
    <row r="83" spans="3:42">
      <c r="C83" s="87">
        <v>18</v>
      </c>
      <c r="D83" s="91">
        <v>0</v>
      </c>
      <c r="E83" s="90"/>
      <c r="F83" s="90"/>
      <c r="G83" s="90"/>
      <c r="H83" s="90"/>
      <c r="I83" s="90"/>
      <c r="J83" s="90"/>
      <c r="K83" s="90"/>
      <c r="L83" s="90"/>
      <c r="M83" s="90"/>
      <c r="N83" s="90"/>
      <c r="O83" s="90"/>
      <c r="P83" s="90"/>
      <c r="Q83" s="90"/>
      <c r="R83" s="90"/>
      <c r="S83" s="90"/>
      <c r="T83" s="90"/>
      <c r="U83" s="90"/>
      <c r="V83" s="80">
        <f>$D83/$C$7/2</f>
        <v>0</v>
      </c>
      <c r="W83" s="80">
        <f>$D83/$C$7</f>
        <v>0</v>
      </c>
      <c r="X83" s="80">
        <f>W83</f>
        <v>0</v>
      </c>
      <c r="Y83" s="80">
        <f>X83</f>
        <v>0</v>
      </c>
      <c r="Z83" s="80">
        <f>Y83</f>
        <v>0</v>
      </c>
      <c r="AA83" s="80">
        <f>$D83/$C$7/2</f>
        <v>0</v>
      </c>
      <c r="AB83" s="90"/>
      <c r="AC83" s="90"/>
      <c r="AD83" s="90"/>
      <c r="AE83" s="90"/>
      <c r="AF83" s="90"/>
      <c r="AG83" s="90"/>
      <c r="AH83" s="90"/>
      <c r="AI83" s="90"/>
      <c r="AJ83" s="90"/>
      <c r="AK83" s="90"/>
      <c r="AL83" s="90"/>
      <c r="AM83" s="90"/>
      <c r="AN83" s="78">
        <f t="shared" si="44"/>
        <v>0</v>
      </c>
      <c r="AO83" s="68" t="str">
        <f t="shared" si="45"/>
        <v>ok</v>
      </c>
    </row>
    <row r="84" spans="3:42">
      <c r="C84" s="87">
        <v>19</v>
      </c>
      <c r="D84" s="91">
        <v>1832.5646441074221</v>
      </c>
      <c r="E84" s="90"/>
      <c r="F84" s="90"/>
      <c r="G84" s="90"/>
      <c r="H84" s="90"/>
      <c r="I84" s="90"/>
      <c r="J84" s="90"/>
      <c r="K84" s="90"/>
      <c r="L84" s="90"/>
      <c r="M84" s="90"/>
      <c r="N84" s="90"/>
      <c r="O84" s="90"/>
      <c r="P84" s="90"/>
      <c r="Q84" s="90"/>
      <c r="R84" s="90"/>
      <c r="S84" s="90"/>
      <c r="T84" s="90"/>
      <c r="U84" s="90"/>
      <c r="V84" s="90"/>
      <c r="W84" s="80">
        <f>$D84/$C$7/2</f>
        <v>183.25646441074221</v>
      </c>
      <c r="X84" s="80">
        <f>$D84/$C$7</f>
        <v>366.51292882148442</v>
      </c>
      <c r="Y84" s="80">
        <f>X84</f>
        <v>366.51292882148442</v>
      </c>
      <c r="Z84" s="80">
        <f>Y84</f>
        <v>366.51292882148442</v>
      </c>
      <c r="AA84" s="80">
        <f>Z84</f>
        <v>366.51292882148442</v>
      </c>
      <c r="AB84" s="80">
        <f>$D84/$C$7/2</f>
        <v>183.25646441074221</v>
      </c>
      <c r="AC84" s="90"/>
      <c r="AD84" s="90"/>
      <c r="AE84" s="90"/>
      <c r="AF84" s="90"/>
      <c r="AG84" s="90"/>
      <c r="AH84" s="90"/>
      <c r="AI84" s="90"/>
      <c r="AJ84" s="90"/>
      <c r="AK84" s="90"/>
      <c r="AL84" s="90"/>
      <c r="AM84" s="90"/>
      <c r="AN84" s="78">
        <f t="shared" si="44"/>
        <v>1832.5646441074221</v>
      </c>
      <c r="AO84" s="68" t="str">
        <f t="shared" si="45"/>
        <v>ok</v>
      </c>
    </row>
    <row r="85" spans="3:42">
      <c r="C85" s="87">
        <v>20</v>
      </c>
      <c r="D85" s="91">
        <v>0</v>
      </c>
      <c r="E85" s="90"/>
      <c r="F85" s="90"/>
      <c r="G85" s="90"/>
      <c r="H85" s="90"/>
      <c r="I85" s="90"/>
      <c r="J85" s="90"/>
      <c r="K85" s="90"/>
      <c r="L85" s="90"/>
      <c r="M85" s="90"/>
      <c r="N85" s="90"/>
      <c r="O85" s="90"/>
      <c r="P85" s="90"/>
      <c r="Q85" s="90"/>
      <c r="R85" s="90"/>
      <c r="S85" s="90"/>
      <c r="T85" s="90"/>
      <c r="U85" s="90"/>
      <c r="V85" s="90"/>
      <c r="W85" s="90"/>
      <c r="X85" s="80">
        <f>$D85/$C$7/2</f>
        <v>0</v>
      </c>
      <c r="Y85" s="80">
        <f>$D85/$C$7</f>
        <v>0</v>
      </c>
      <c r="Z85" s="80">
        <f>Y85</f>
        <v>0</v>
      </c>
      <c r="AA85" s="80">
        <f>Z85</f>
        <v>0</v>
      </c>
      <c r="AB85" s="80">
        <f>AA85</f>
        <v>0</v>
      </c>
      <c r="AC85" s="80">
        <f>$D85/$C$7/2</f>
        <v>0</v>
      </c>
      <c r="AD85" s="90"/>
      <c r="AE85" s="90"/>
      <c r="AF85" s="90"/>
      <c r="AG85" s="90"/>
      <c r="AH85" s="90"/>
      <c r="AI85" s="90"/>
      <c r="AJ85" s="90"/>
      <c r="AK85" s="90"/>
      <c r="AL85" s="90"/>
      <c r="AM85" s="90"/>
      <c r="AN85" s="78">
        <f t="shared" si="44"/>
        <v>0</v>
      </c>
      <c r="AO85" s="68" t="str">
        <f t="shared" si="45"/>
        <v>ok</v>
      </c>
    </row>
    <row r="86" spans="3:42">
      <c r="C86" s="87">
        <v>21</v>
      </c>
      <c r="D86" s="91">
        <v>3121.7653468749995</v>
      </c>
      <c r="E86" s="90"/>
      <c r="F86" s="90"/>
      <c r="G86" s="90"/>
      <c r="H86" s="90"/>
      <c r="I86" s="90"/>
      <c r="J86" s="90"/>
      <c r="K86" s="90"/>
      <c r="L86" s="90"/>
      <c r="M86" s="90"/>
      <c r="N86" s="90"/>
      <c r="O86" s="90"/>
      <c r="P86" s="90"/>
      <c r="Q86" s="90"/>
      <c r="R86" s="90"/>
      <c r="S86" s="90"/>
      <c r="T86" s="90"/>
      <c r="U86" s="90"/>
      <c r="V86" s="90"/>
      <c r="W86" s="90"/>
      <c r="X86" s="90"/>
      <c r="Y86" s="80">
        <f>$D86/$C$7/2</f>
        <v>312.17653468749995</v>
      </c>
      <c r="Z86" s="80">
        <f>$D86/$C$7</f>
        <v>624.3530693749999</v>
      </c>
      <c r="AA86" s="80">
        <f>Z86</f>
        <v>624.3530693749999</v>
      </c>
      <c r="AB86" s="80">
        <f>AA86</f>
        <v>624.3530693749999</v>
      </c>
      <c r="AC86" s="80">
        <f>AB86</f>
        <v>624.3530693749999</v>
      </c>
      <c r="AD86" s="80">
        <f>$D86/$C$7/2</f>
        <v>312.17653468749995</v>
      </c>
      <c r="AE86" s="90"/>
      <c r="AF86" s="90"/>
      <c r="AG86" s="90"/>
      <c r="AH86" s="90"/>
      <c r="AI86" s="90"/>
      <c r="AJ86" s="90"/>
      <c r="AK86" s="90"/>
      <c r="AL86" s="90"/>
      <c r="AM86" s="90"/>
      <c r="AN86" s="78">
        <f t="shared" si="44"/>
        <v>3121.7653468749995</v>
      </c>
      <c r="AO86" s="68" t="str">
        <f t="shared" si="45"/>
        <v>ok</v>
      </c>
    </row>
    <row r="87" spans="3:42">
      <c r="C87" s="87">
        <v>22</v>
      </c>
      <c r="D87" s="91">
        <v>817.23118906249999</v>
      </c>
      <c r="E87" s="90"/>
      <c r="F87" s="90"/>
      <c r="G87" s="90"/>
      <c r="H87" s="90"/>
      <c r="I87" s="90"/>
      <c r="J87" s="90"/>
      <c r="K87" s="90"/>
      <c r="L87" s="90"/>
      <c r="M87" s="90"/>
      <c r="N87" s="90"/>
      <c r="O87" s="90"/>
      <c r="P87" s="90"/>
      <c r="Q87" s="90"/>
      <c r="R87" s="90"/>
      <c r="S87" s="90"/>
      <c r="T87" s="90"/>
      <c r="U87" s="90"/>
      <c r="V87" s="90"/>
      <c r="W87" s="90"/>
      <c r="X87" s="90"/>
      <c r="Y87" s="90"/>
      <c r="Z87" s="80">
        <f>$D87/$C$7/2</f>
        <v>81.723118906249994</v>
      </c>
      <c r="AA87" s="80">
        <f>$D87/$C$7</f>
        <v>163.44623781249999</v>
      </c>
      <c r="AB87" s="80">
        <f>AA87</f>
        <v>163.44623781249999</v>
      </c>
      <c r="AC87" s="80">
        <f>AB87</f>
        <v>163.44623781249999</v>
      </c>
      <c r="AD87" s="80">
        <f>AC87</f>
        <v>163.44623781249999</v>
      </c>
      <c r="AE87" s="80">
        <f>$D87/$C$7/2</f>
        <v>81.723118906249994</v>
      </c>
      <c r="AF87" s="90"/>
      <c r="AG87" s="90"/>
      <c r="AH87" s="90"/>
      <c r="AI87" s="90"/>
      <c r="AJ87" s="90"/>
      <c r="AK87" s="90"/>
      <c r="AL87" s="90"/>
      <c r="AM87" s="90"/>
      <c r="AN87" s="78">
        <f t="shared" si="44"/>
        <v>817.23118906249988</v>
      </c>
      <c r="AO87" s="68" t="str">
        <f t="shared" si="45"/>
        <v>ok</v>
      </c>
    </row>
    <row r="88" spans="3:42">
      <c r="C88" s="87">
        <v>23</v>
      </c>
      <c r="D88" s="91">
        <v>145.6576</v>
      </c>
      <c r="E88" s="90"/>
      <c r="F88" s="90"/>
      <c r="G88" s="90"/>
      <c r="H88" s="90"/>
      <c r="I88" s="90"/>
      <c r="J88" s="90"/>
      <c r="K88" s="90"/>
      <c r="L88" s="90"/>
      <c r="M88" s="90"/>
      <c r="N88" s="90"/>
      <c r="O88" s="90"/>
      <c r="P88" s="90"/>
      <c r="Q88" s="90"/>
      <c r="R88" s="90"/>
      <c r="S88" s="90"/>
      <c r="T88" s="90"/>
      <c r="U88" s="90"/>
      <c r="V88" s="90"/>
      <c r="W88" s="90"/>
      <c r="X88" s="90"/>
      <c r="Y88" s="90"/>
      <c r="Z88" s="90"/>
      <c r="AA88" s="80">
        <f>$D88/$C$7/2</f>
        <v>14.565760000000001</v>
      </c>
      <c r="AB88" s="80">
        <f>$D88/$C$7</f>
        <v>29.131520000000002</v>
      </c>
      <c r="AC88" s="80">
        <f>AB88</f>
        <v>29.131520000000002</v>
      </c>
      <c r="AD88" s="80">
        <f>AC88</f>
        <v>29.131520000000002</v>
      </c>
      <c r="AE88" s="80">
        <f>AD88</f>
        <v>29.131520000000002</v>
      </c>
      <c r="AF88" s="80">
        <f>$D88/$C$7/2</f>
        <v>14.565760000000001</v>
      </c>
      <c r="AG88" s="90"/>
      <c r="AH88" s="90"/>
      <c r="AI88" s="90"/>
      <c r="AJ88" s="90"/>
      <c r="AK88" s="90"/>
      <c r="AL88" s="90"/>
      <c r="AM88" s="90"/>
      <c r="AN88" s="78">
        <f t="shared" si="44"/>
        <v>145.6576</v>
      </c>
      <c r="AO88" s="68" t="str">
        <f t="shared" si="45"/>
        <v>ok</v>
      </c>
    </row>
    <row r="89" spans="3:42">
      <c r="C89" s="87">
        <v>24</v>
      </c>
      <c r="D89" s="91">
        <v>13782.637956802737</v>
      </c>
      <c r="E89" s="90"/>
      <c r="F89" s="90"/>
      <c r="G89" s="90"/>
      <c r="H89" s="90"/>
      <c r="I89" s="90"/>
      <c r="J89" s="90"/>
      <c r="K89" s="90"/>
      <c r="L89" s="90"/>
      <c r="M89" s="90"/>
      <c r="N89" s="90"/>
      <c r="O89" s="90"/>
      <c r="P89" s="90"/>
      <c r="Q89" s="90"/>
      <c r="R89" s="90"/>
      <c r="S89" s="90"/>
      <c r="T89" s="90"/>
      <c r="U89" s="90"/>
      <c r="V89" s="90"/>
      <c r="W89" s="90"/>
      <c r="X89" s="90"/>
      <c r="Y89" s="90"/>
      <c r="Z89" s="90"/>
      <c r="AA89" s="90"/>
      <c r="AB89" s="80">
        <f>$D89/$C$7/2</f>
        <v>1378.2637956802737</v>
      </c>
      <c r="AC89" s="80">
        <f>$D89/$C$7</f>
        <v>2756.5275913605474</v>
      </c>
      <c r="AD89" s="80">
        <f>AC89</f>
        <v>2756.5275913605474</v>
      </c>
      <c r="AE89" s="80">
        <f>AD89</f>
        <v>2756.5275913605474</v>
      </c>
      <c r="AF89" s="80">
        <f>AE89</f>
        <v>2756.5275913605474</v>
      </c>
      <c r="AG89" s="80">
        <f>$D89/$C$7/2</f>
        <v>1378.2637956802737</v>
      </c>
      <c r="AH89" s="90"/>
      <c r="AI89" s="90"/>
      <c r="AJ89" s="90"/>
      <c r="AK89" s="90"/>
      <c r="AL89" s="90"/>
      <c r="AM89" s="90"/>
      <c r="AN89" s="78">
        <f t="shared" si="44"/>
        <v>13782.637956802737</v>
      </c>
      <c r="AO89" s="68" t="str">
        <f t="shared" si="45"/>
        <v>ok</v>
      </c>
    </row>
    <row r="90" spans="3:42">
      <c r="C90" s="87">
        <v>25</v>
      </c>
      <c r="D90" s="91">
        <v>645.35598906250004</v>
      </c>
      <c r="E90" s="90"/>
      <c r="F90" s="90"/>
      <c r="G90" s="90"/>
      <c r="H90" s="90"/>
      <c r="I90" s="90"/>
      <c r="J90" s="90"/>
      <c r="K90" s="90"/>
      <c r="L90" s="90"/>
      <c r="M90" s="90"/>
      <c r="N90" s="90"/>
      <c r="O90" s="90"/>
      <c r="P90" s="90"/>
      <c r="Q90" s="90"/>
      <c r="R90" s="90"/>
      <c r="S90" s="90"/>
      <c r="T90" s="90"/>
      <c r="U90" s="90"/>
      <c r="V90" s="90"/>
      <c r="W90" s="90"/>
      <c r="X90" s="90"/>
      <c r="Y90" s="90"/>
      <c r="Z90" s="90"/>
      <c r="AA90" s="90"/>
      <c r="AB90" s="90"/>
      <c r="AC90" s="80">
        <f>$D90/$C$7/2</f>
        <v>64.535598906250002</v>
      </c>
      <c r="AD90" s="80">
        <f>$D90/$C$7</f>
        <v>129.0711978125</v>
      </c>
      <c r="AE90" s="80">
        <f>AD90</f>
        <v>129.0711978125</v>
      </c>
      <c r="AF90" s="80">
        <f>AE90</f>
        <v>129.0711978125</v>
      </c>
      <c r="AG90" s="80">
        <f>AF90</f>
        <v>129.0711978125</v>
      </c>
      <c r="AH90" s="80">
        <f>$D90/$C$7/2</f>
        <v>64.535598906250002</v>
      </c>
      <c r="AI90" s="90"/>
      <c r="AJ90" s="90"/>
      <c r="AK90" s="90"/>
      <c r="AL90" s="90"/>
      <c r="AM90" s="90"/>
      <c r="AN90" s="78">
        <f t="shared" si="44"/>
        <v>645.35598906250004</v>
      </c>
      <c r="AO90" s="68" t="str">
        <f t="shared" si="45"/>
        <v>ok</v>
      </c>
    </row>
    <row r="91" spans="3:42">
      <c r="C91" s="87">
        <v>26</v>
      </c>
      <c r="D91" s="91">
        <v>808.75799999999992</v>
      </c>
      <c r="E91" s="90"/>
      <c r="F91" s="90"/>
      <c r="G91" s="90"/>
      <c r="H91" s="90"/>
      <c r="I91" s="90"/>
      <c r="J91" s="90"/>
      <c r="K91" s="90"/>
      <c r="L91" s="90"/>
      <c r="M91" s="90"/>
      <c r="N91" s="90"/>
      <c r="O91" s="90"/>
      <c r="P91" s="90"/>
      <c r="Q91" s="90"/>
      <c r="R91" s="90"/>
      <c r="S91" s="90"/>
      <c r="T91" s="90"/>
      <c r="U91" s="90"/>
      <c r="V91" s="90"/>
      <c r="W91" s="90"/>
      <c r="X91" s="90"/>
      <c r="Y91" s="90"/>
      <c r="Z91" s="90"/>
      <c r="AA91" s="90"/>
      <c r="AB91" s="90"/>
      <c r="AC91" s="90"/>
      <c r="AD91" s="80">
        <f>$D91/$C$7/2</f>
        <v>80.875799999999998</v>
      </c>
      <c r="AE91" s="80">
        <f>$D91/$C$7</f>
        <v>161.7516</v>
      </c>
      <c r="AF91" s="80">
        <f>AE91</f>
        <v>161.7516</v>
      </c>
      <c r="AG91" s="80">
        <f>AF91</f>
        <v>161.7516</v>
      </c>
      <c r="AH91" s="80">
        <f>AG91</f>
        <v>161.7516</v>
      </c>
      <c r="AI91" s="80">
        <f>$D91/$C$7/2</f>
        <v>80.875799999999998</v>
      </c>
      <c r="AJ91" s="90"/>
      <c r="AK91" s="90"/>
      <c r="AL91" s="90"/>
      <c r="AM91" s="90"/>
      <c r="AN91" s="78">
        <f t="shared" si="44"/>
        <v>808.75800000000004</v>
      </c>
      <c r="AO91" s="68" t="str">
        <f t="shared" si="45"/>
        <v>ok</v>
      </c>
    </row>
    <row r="92" spans="3:42">
      <c r="C92" s="87">
        <v>27</v>
      </c>
      <c r="D92" s="91">
        <v>461.06060000000002</v>
      </c>
      <c r="E92" s="90"/>
      <c r="F92" s="90"/>
      <c r="G92" s="90"/>
      <c r="H92" s="90"/>
      <c r="I92" s="90"/>
      <c r="J92" s="90"/>
      <c r="K92" s="90"/>
      <c r="L92" s="90"/>
      <c r="M92" s="90"/>
      <c r="N92" s="90"/>
      <c r="O92" s="90"/>
      <c r="P92" s="90"/>
      <c r="Q92" s="90"/>
      <c r="R92" s="90"/>
      <c r="S92" s="90"/>
      <c r="T92" s="90"/>
      <c r="U92" s="90"/>
      <c r="V92" s="90"/>
      <c r="W92" s="90"/>
      <c r="X92" s="90"/>
      <c r="Y92" s="90"/>
      <c r="Z92" s="90"/>
      <c r="AA92" s="90"/>
      <c r="AB92" s="90"/>
      <c r="AC92" s="90"/>
      <c r="AD92" s="90"/>
      <c r="AE92" s="80">
        <f>$D92/$C$7/2</f>
        <v>46.106059999999999</v>
      </c>
      <c r="AF92" s="80">
        <f>$D92/$C$7</f>
        <v>92.212119999999999</v>
      </c>
      <c r="AG92" s="80">
        <f>AF92</f>
        <v>92.212119999999999</v>
      </c>
      <c r="AH92" s="80">
        <f>AG92</f>
        <v>92.212119999999999</v>
      </c>
      <c r="AI92" s="80">
        <f>AH92</f>
        <v>92.212119999999999</v>
      </c>
      <c r="AJ92" s="80">
        <f>$D92/$C$7/2</f>
        <v>46.106059999999999</v>
      </c>
      <c r="AK92" s="90"/>
      <c r="AL92" s="90"/>
      <c r="AM92" s="90"/>
      <c r="AN92" s="78">
        <f t="shared" si="44"/>
        <v>461.06059999999997</v>
      </c>
      <c r="AO92" s="68" t="str">
        <f t="shared" si="45"/>
        <v>ok</v>
      </c>
    </row>
    <row r="93" spans="3:42">
      <c r="C93" s="87">
        <v>28</v>
      </c>
      <c r="D93" s="91">
        <v>499.69838906250004</v>
      </c>
      <c r="E93" s="90"/>
      <c r="F93" s="90"/>
      <c r="G93" s="90"/>
      <c r="H93" s="90"/>
      <c r="I93" s="90"/>
      <c r="J93" s="90"/>
      <c r="K93" s="90"/>
      <c r="L93" s="90"/>
      <c r="M93" s="90"/>
      <c r="N93" s="90"/>
      <c r="O93" s="90"/>
      <c r="P93" s="90"/>
      <c r="Q93" s="90"/>
      <c r="R93" s="90"/>
      <c r="S93" s="90"/>
      <c r="T93" s="90"/>
      <c r="U93" s="90"/>
      <c r="V93" s="90"/>
      <c r="W93" s="90"/>
      <c r="X93" s="90"/>
      <c r="Y93" s="90"/>
      <c r="Z93" s="90"/>
      <c r="AA93" s="90"/>
      <c r="AB93" s="90"/>
      <c r="AC93" s="90"/>
      <c r="AD93" s="90"/>
      <c r="AE93" s="90"/>
      <c r="AF93" s="80">
        <f>$D93/$C$7/2</f>
        <v>49.969838906250004</v>
      </c>
      <c r="AG93" s="80">
        <f>$D93/$C$7</f>
        <v>99.939677812500008</v>
      </c>
      <c r="AH93" s="80">
        <f>AG93</f>
        <v>99.939677812500008</v>
      </c>
      <c r="AI93" s="80">
        <f>AH93</f>
        <v>99.939677812500008</v>
      </c>
      <c r="AJ93" s="80">
        <f>AI93</f>
        <v>99.939677812500008</v>
      </c>
      <c r="AK93" s="80">
        <f>$D93/$C$7/2</f>
        <v>49.969838906250004</v>
      </c>
      <c r="AL93" s="90"/>
      <c r="AM93" s="90"/>
      <c r="AN93" s="78">
        <f t="shared" si="44"/>
        <v>499.69838906250004</v>
      </c>
      <c r="AO93" s="68" t="str">
        <f t="shared" si="45"/>
        <v>ok</v>
      </c>
    </row>
    <row r="94" spans="3:42">
      <c r="C94" s="87">
        <v>29</v>
      </c>
      <c r="D94" s="91">
        <v>2835.891336294922</v>
      </c>
      <c r="E94" s="90"/>
      <c r="F94" s="90"/>
      <c r="G94" s="90"/>
      <c r="H94" s="90"/>
      <c r="I94" s="90"/>
      <c r="J94" s="90"/>
      <c r="K94" s="90"/>
      <c r="L94" s="90"/>
      <c r="M94" s="90"/>
      <c r="N94" s="90"/>
      <c r="O94" s="90"/>
      <c r="P94" s="90"/>
      <c r="Q94" s="90"/>
      <c r="R94" s="90"/>
      <c r="S94" s="90"/>
      <c r="T94" s="90"/>
      <c r="U94" s="90"/>
      <c r="V94" s="90"/>
      <c r="W94" s="90"/>
      <c r="X94" s="90"/>
      <c r="Y94" s="90"/>
      <c r="Z94" s="90"/>
      <c r="AA94" s="90"/>
      <c r="AB94" s="90"/>
      <c r="AC94" s="90"/>
      <c r="AD94" s="90"/>
      <c r="AE94" s="90"/>
      <c r="AF94" s="90"/>
      <c r="AG94" s="80">
        <f>$D94/$C$7/2</f>
        <v>283.58913362949221</v>
      </c>
      <c r="AH94" s="80">
        <f>$D94/$C$7</f>
        <v>567.17826725898442</v>
      </c>
      <c r="AI94" s="80">
        <f>AH94</f>
        <v>567.17826725898442</v>
      </c>
      <c r="AJ94" s="80">
        <f>AI94</f>
        <v>567.17826725898442</v>
      </c>
      <c r="AK94" s="80">
        <f>AJ94</f>
        <v>567.17826725898442</v>
      </c>
      <c r="AL94" s="80">
        <f>$D94/$C$7/2</f>
        <v>283.58913362949221</v>
      </c>
      <c r="AM94" s="90"/>
      <c r="AN94" s="78">
        <f t="shared" si="44"/>
        <v>2835.891336294922</v>
      </c>
      <c r="AO94" s="68" t="str">
        <f t="shared" si="45"/>
        <v>ok</v>
      </c>
      <c r="AP94" s="89"/>
    </row>
    <row r="95" spans="3:42">
      <c r="C95" s="87">
        <v>30</v>
      </c>
      <c r="D95" s="91">
        <v>645.62919999999997</v>
      </c>
      <c r="E95" s="90"/>
      <c r="F95" s="90"/>
      <c r="G95" s="90"/>
      <c r="H95" s="90"/>
      <c r="I95" s="90"/>
      <c r="J95" s="90"/>
      <c r="K95" s="90"/>
      <c r="L95" s="90"/>
      <c r="M95" s="90"/>
      <c r="N95" s="90"/>
      <c r="O95" s="90"/>
      <c r="P95" s="90"/>
      <c r="Q95" s="90"/>
      <c r="R95" s="90"/>
      <c r="S95" s="90"/>
      <c r="T95" s="90"/>
      <c r="U95" s="90"/>
      <c r="V95" s="90"/>
      <c r="W95" s="90"/>
      <c r="X95" s="90"/>
      <c r="Y95" s="90"/>
      <c r="Z95" s="90"/>
      <c r="AA95" s="90"/>
      <c r="AB95" s="90"/>
      <c r="AC95" s="90"/>
      <c r="AD95" s="90"/>
      <c r="AE95" s="90"/>
      <c r="AF95" s="90"/>
      <c r="AG95" s="90"/>
      <c r="AH95" s="80">
        <f>$D95/$C$7/2</f>
        <v>64.562919999999991</v>
      </c>
      <c r="AI95" s="80">
        <f>$D95/$C$7</f>
        <v>129.12583999999998</v>
      </c>
      <c r="AJ95" s="80">
        <f>AI95</f>
        <v>129.12583999999998</v>
      </c>
      <c r="AK95" s="80">
        <f>AJ95</f>
        <v>129.12583999999998</v>
      </c>
      <c r="AL95" s="80">
        <f>AK95</f>
        <v>129.12583999999998</v>
      </c>
      <c r="AM95" s="80">
        <f>$D95/$C$7/2</f>
        <v>64.562919999999991</v>
      </c>
      <c r="AN95" s="78">
        <f t="shared" si="44"/>
        <v>645.62919999999986</v>
      </c>
      <c r="AO95" s="68" t="str">
        <f t="shared" si="45"/>
        <v>ok</v>
      </c>
      <c r="AP95" s="89"/>
    </row>
    <row r="96" spans="3:42">
      <c r="C96" s="87">
        <v>31</v>
      </c>
      <c r="D96" s="91">
        <v>4782.7243240234402</v>
      </c>
      <c r="E96" s="90"/>
      <c r="F96" s="90"/>
      <c r="G96" s="90"/>
      <c r="H96" s="90"/>
      <c r="I96" s="90"/>
      <c r="J96" s="90"/>
      <c r="K96" s="90"/>
      <c r="L96" s="90"/>
      <c r="M96" s="90"/>
      <c r="N96" s="90"/>
      <c r="O96" s="90"/>
      <c r="P96" s="90"/>
      <c r="Q96" s="90"/>
      <c r="R96" s="90"/>
      <c r="S96" s="90"/>
      <c r="T96" s="90"/>
      <c r="U96" s="90"/>
      <c r="V96" s="90"/>
      <c r="W96" s="90"/>
      <c r="X96" s="90"/>
      <c r="Y96" s="90"/>
      <c r="Z96" s="90"/>
      <c r="AA96" s="90"/>
      <c r="AB96" s="90"/>
      <c r="AC96" s="90"/>
      <c r="AD96" s="90"/>
      <c r="AE96" s="90"/>
      <c r="AF96" s="90"/>
      <c r="AG96" s="90"/>
      <c r="AH96" s="90"/>
      <c r="AI96" s="80">
        <f>$D96/4.5/2</f>
        <v>531.41381378038227</v>
      </c>
      <c r="AJ96" s="80">
        <f>$D96/4.5</f>
        <v>1062.8276275607645</v>
      </c>
      <c r="AK96" s="80">
        <f>AJ96</f>
        <v>1062.8276275607645</v>
      </c>
      <c r="AL96" s="80">
        <f>AK96</f>
        <v>1062.8276275607645</v>
      </c>
      <c r="AM96" s="80">
        <f>AL96</f>
        <v>1062.8276275607645</v>
      </c>
      <c r="AN96" s="78">
        <f t="shared" si="44"/>
        <v>4782.7243240234402</v>
      </c>
      <c r="AO96" s="68" t="str">
        <f t="shared" si="45"/>
        <v>ok</v>
      </c>
      <c r="AP96" s="89"/>
    </row>
    <row r="97" spans="3:42">
      <c r="C97" s="87">
        <v>32</v>
      </c>
      <c r="D97" s="91">
        <v>0</v>
      </c>
      <c r="E97" s="90"/>
      <c r="F97" s="90"/>
      <c r="G97" s="90"/>
      <c r="H97" s="90"/>
      <c r="I97" s="90"/>
      <c r="J97" s="90"/>
      <c r="K97" s="90"/>
      <c r="L97" s="90"/>
      <c r="M97" s="90"/>
      <c r="N97" s="90"/>
      <c r="O97" s="90"/>
      <c r="P97" s="90"/>
      <c r="Q97" s="90"/>
      <c r="R97" s="90"/>
      <c r="S97" s="90"/>
      <c r="T97" s="90"/>
      <c r="U97" s="90"/>
      <c r="V97" s="90"/>
      <c r="W97" s="90"/>
      <c r="X97" s="90"/>
      <c r="Y97" s="90"/>
      <c r="Z97" s="90"/>
      <c r="AA97" s="90"/>
      <c r="AB97" s="90"/>
      <c r="AC97" s="90"/>
      <c r="AD97" s="90"/>
      <c r="AE97" s="90"/>
      <c r="AF97" s="90"/>
      <c r="AG97" s="90"/>
      <c r="AH97" s="90"/>
      <c r="AI97" s="90"/>
      <c r="AJ97" s="80">
        <f>$D97/3.5/2</f>
        <v>0</v>
      </c>
      <c r="AK97" s="80">
        <f>$D97/3.5</f>
        <v>0</v>
      </c>
      <c r="AL97" s="80">
        <f>AK97</f>
        <v>0</v>
      </c>
      <c r="AM97" s="80">
        <f>AL97</f>
        <v>0</v>
      </c>
      <c r="AN97" s="78">
        <f t="shared" si="44"/>
        <v>0</v>
      </c>
      <c r="AO97" s="68" t="str">
        <f t="shared" si="45"/>
        <v>ok</v>
      </c>
      <c r="AP97" s="89"/>
    </row>
    <row r="98" spans="3:42">
      <c r="C98" s="87">
        <v>33</v>
      </c>
      <c r="D98" s="91">
        <v>145.6576</v>
      </c>
      <c r="E98" s="90"/>
      <c r="F98" s="90"/>
      <c r="G98" s="90"/>
      <c r="H98" s="90"/>
      <c r="I98" s="90"/>
      <c r="J98" s="90"/>
      <c r="K98" s="90"/>
      <c r="L98" s="90"/>
      <c r="M98" s="90"/>
      <c r="N98" s="90"/>
      <c r="O98" s="90"/>
      <c r="P98" s="90"/>
      <c r="Q98" s="90"/>
      <c r="R98" s="90"/>
      <c r="S98" s="90"/>
      <c r="T98" s="90"/>
      <c r="U98" s="90"/>
      <c r="V98" s="90"/>
      <c r="W98" s="90"/>
      <c r="X98" s="90"/>
      <c r="Y98" s="90"/>
      <c r="Z98" s="90"/>
      <c r="AA98" s="90"/>
      <c r="AB98" s="90"/>
      <c r="AC98" s="90"/>
      <c r="AD98" s="90"/>
      <c r="AE98" s="90"/>
      <c r="AF98" s="90"/>
      <c r="AG98" s="90"/>
      <c r="AH98" s="90"/>
      <c r="AI98" s="90"/>
      <c r="AJ98" s="90"/>
      <c r="AK98" s="80">
        <f>$D98/2.5/2</f>
        <v>29.131520000000002</v>
      </c>
      <c r="AL98" s="80">
        <f>$D98/2.5</f>
        <v>58.263040000000004</v>
      </c>
      <c r="AM98" s="80">
        <f>AL98</f>
        <v>58.263040000000004</v>
      </c>
      <c r="AN98" s="78">
        <f t="shared" si="44"/>
        <v>145.6576</v>
      </c>
      <c r="AO98" s="68" t="str">
        <f t="shared" si="45"/>
        <v>ok</v>
      </c>
      <c r="AP98" s="89"/>
    </row>
    <row r="99" spans="3:42">
      <c r="C99" s="87">
        <v>34</v>
      </c>
      <c r="D99" s="91">
        <v>5570.8146331117196</v>
      </c>
      <c r="E99" s="90"/>
      <c r="F99" s="90"/>
      <c r="G99" s="90"/>
      <c r="H99" s="90"/>
      <c r="I99" s="90"/>
      <c r="J99" s="90"/>
      <c r="K99" s="90"/>
      <c r="L99" s="90"/>
      <c r="M99" s="90"/>
      <c r="N99" s="90"/>
      <c r="O99" s="90"/>
      <c r="P99" s="90"/>
      <c r="Q99" s="90"/>
      <c r="R99" s="90"/>
      <c r="S99" s="90"/>
      <c r="T99" s="90"/>
      <c r="U99" s="90"/>
      <c r="V99" s="90"/>
      <c r="W99" s="90"/>
      <c r="X99" s="90"/>
      <c r="Y99" s="90"/>
      <c r="Z99" s="90"/>
      <c r="AA99" s="90"/>
      <c r="AB99" s="90"/>
      <c r="AC99" s="90"/>
      <c r="AD99" s="90"/>
      <c r="AE99" s="90"/>
      <c r="AF99" s="90"/>
      <c r="AG99" s="90"/>
      <c r="AH99" s="90"/>
      <c r="AI99" s="90"/>
      <c r="AJ99" s="90"/>
      <c r="AK99" s="90"/>
      <c r="AL99" s="80">
        <f>$D99/1.5/2</f>
        <v>1856.9382110372399</v>
      </c>
      <c r="AM99" s="80">
        <f>$D99/1.5</f>
        <v>3713.8764220744797</v>
      </c>
      <c r="AN99" s="78">
        <f t="shared" si="44"/>
        <v>5570.8146331117196</v>
      </c>
      <c r="AO99" s="68" t="str">
        <f t="shared" si="45"/>
        <v>ok</v>
      </c>
      <c r="AP99" s="89"/>
    </row>
    <row r="100" spans="3:42">
      <c r="C100" s="87">
        <v>35</v>
      </c>
      <c r="D100" s="91">
        <v>733.7814965</v>
      </c>
      <c r="E100" s="90"/>
      <c r="F100" s="90"/>
      <c r="G100" s="90"/>
      <c r="H100" s="90"/>
      <c r="I100" s="90"/>
      <c r="J100" s="90"/>
      <c r="K100" s="90"/>
      <c r="L100" s="90"/>
      <c r="M100" s="90"/>
      <c r="N100" s="90"/>
      <c r="O100" s="90"/>
      <c r="P100" s="90"/>
      <c r="Q100" s="90"/>
      <c r="R100" s="90"/>
      <c r="S100" s="90"/>
      <c r="T100" s="90"/>
      <c r="U100" s="90"/>
      <c r="V100" s="90"/>
      <c r="W100" s="90"/>
      <c r="X100" s="90"/>
      <c r="Y100" s="90"/>
      <c r="Z100" s="90"/>
      <c r="AA100" s="90"/>
      <c r="AB100" s="90"/>
      <c r="AC100" s="90"/>
      <c r="AD100" s="90"/>
      <c r="AE100" s="90"/>
      <c r="AF100" s="90"/>
      <c r="AG100" s="90"/>
      <c r="AH100" s="90"/>
      <c r="AI100" s="90"/>
      <c r="AJ100" s="90"/>
      <c r="AK100" s="90"/>
      <c r="AL100" s="90"/>
      <c r="AM100" s="80">
        <f>$D100</f>
        <v>733.7814965</v>
      </c>
      <c r="AN100" s="78">
        <f t="shared" si="44"/>
        <v>733.7814965</v>
      </c>
      <c r="AO100" s="68" t="str">
        <f t="shared" si="45"/>
        <v>ok</v>
      </c>
      <c r="AP100" s="89"/>
    </row>
    <row r="101" spans="3:42">
      <c r="C101" s="87" t="s">
        <v>307</v>
      </c>
      <c r="D101" s="78">
        <f t="shared" ref="D101:AK101" si="46">SUM(D66:D100)</f>
        <v>77837.26102849649</v>
      </c>
      <c r="E101" s="78">
        <f t="shared" si="46"/>
        <v>991.95956445079787</v>
      </c>
      <c r="F101" s="78">
        <f t="shared" si="46"/>
        <v>2523.7935311496562</v>
      </c>
      <c r="G101" s="78">
        <f t="shared" si="46"/>
        <v>3228.3379929799821</v>
      </c>
      <c r="H101" s="78">
        <f t="shared" si="46"/>
        <v>3429.7747645347481</v>
      </c>
      <c r="I101" s="78">
        <f t="shared" si="46"/>
        <v>3480.5755862672477</v>
      </c>
      <c r="J101" s="78">
        <f t="shared" si="46"/>
        <v>2554.1465463764498</v>
      </c>
      <c r="K101" s="78">
        <f t="shared" si="46"/>
        <v>1153.5391329088418</v>
      </c>
      <c r="L101" s="78">
        <f t="shared" si="46"/>
        <v>560.47808950976571</v>
      </c>
      <c r="M101" s="78">
        <f t="shared" si="46"/>
        <v>524.08122345949232</v>
      </c>
      <c r="N101" s="78">
        <f t="shared" si="46"/>
        <v>656.53686613773448</v>
      </c>
      <c r="O101" s="78">
        <f t="shared" si="46"/>
        <v>924.80791517148441</v>
      </c>
      <c r="P101" s="78">
        <f t="shared" si="46"/>
        <v>1077.4130966277344</v>
      </c>
      <c r="Q101" s="78">
        <f t="shared" si="46"/>
        <v>1030.4652771027343</v>
      </c>
      <c r="R101" s="78">
        <f t="shared" si="46"/>
        <v>2104.148287376172</v>
      </c>
      <c r="S101" s="78">
        <f t="shared" si="46"/>
        <v>3227.5981798371095</v>
      </c>
      <c r="T101" s="78">
        <f t="shared" si="46"/>
        <v>3188.4737851496093</v>
      </c>
      <c r="U101" s="78">
        <f t="shared" si="46"/>
        <v>3256.8304867004395</v>
      </c>
      <c r="V101" s="78">
        <f t="shared" si="46"/>
        <v>3382.3251851262694</v>
      </c>
      <c r="W101" s="78">
        <f t="shared" si="46"/>
        <v>2326.858733759082</v>
      </c>
      <c r="X101" s="78">
        <f t="shared" si="46"/>
        <v>1203.4088412981444</v>
      </c>
      <c r="Y101" s="78">
        <f t="shared" si="46"/>
        <v>1220.9081970793943</v>
      </c>
      <c r="Z101" s="78">
        <f t="shared" si="46"/>
        <v>1262.6194144348142</v>
      </c>
      <c r="AA101" s="78">
        <f t="shared" si="46"/>
        <v>1168.8779960089842</v>
      </c>
      <c r="AB101" s="78">
        <f t="shared" si="46"/>
        <v>2378.4510872785158</v>
      </c>
      <c r="AC101" s="78">
        <f t="shared" si="46"/>
        <v>3637.9940174542971</v>
      </c>
      <c r="AD101" s="78">
        <f t="shared" si="46"/>
        <v>3471.228881673047</v>
      </c>
      <c r="AE101" s="78">
        <f t="shared" si="46"/>
        <v>3204.3110880792974</v>
      </c>
      <c r="AF101" s="78">
        <f t="shared" si="46"/>
        <v>3204.0981080792976</v>
      </c>
      <c r="AG101" s="78">
        <f t="shared" si="46"/>
        <v>2144.8275249347657</v>
      </c>
      <c r="AH101" s="78">
        <f t="shared" si="46"/>
        <v>1050.1801839777345</v>
      </c>
      <c r="AI101" s="78">
        <f t="shared" si="46"/>
        <v>1500.7455188518666</v>
      </c>
      <c r="AJ101" s="78">
        <f t="shared" si="46"/>
        <v>1905.177472632249</v>
      </c>
      <c r="AK101" s="78">
        <f t="shared" si="46"/>
        <v>1838.2330937259987</v>
      </c>
      <c r="AL101" s="78">
        <f>SUM(AL66:AL100)</f>
        <v>3390.743852227497</v>
      </c>
      <c r="AM101" s="78">
        <f>SUM(AM66:AM100)</f>
        <v>5633.3115061352437</v>
      </c>
      <c r="AN101" s="78">
        <f>SUM(AN66:AN100)</f>
        <v>77837.26102849649</v>
      </c>
    </row>
  </sheetData>
  <mergeCells count="2">
    <mergeCell ref="B9:C9"/>
    <mergeCell ref="B17:C17"/>
  </mergeCells>
  <phoneticPr fontId="33" type="noConversion"/>
  <printOptions horizontalCentered="1"/>
  <pageMargins left="0.98425196850393704" right="0.39370078740157483" top="1.1811023622047245" bottom="1.1811023622047245" header="0.78740157480314965" footer="0.78740157480314965"/>
  <pageSetup paperSize="9" scale="56" orientation="landscape" r:id="rId1"/>
  <headerFooter>
    <oddFooter>&amp;L&amp;"Arial,Negrito"Nota: o item 5 corresponde a contabilização da Margem de Construção (três pontos percentuais) e de sua amortização ao longo da concessão, de acordo com as novas normas contábeis vigentes no país.</oddFooter>
  </headerFooter>
  <colBreaks count="1" manualBreakCount="1">
    <brk id="22" max="19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29</vt:i4>
      </vt:variant>
      <vt:variant>
        <vt:lpstr>Intervalos Nomeados</vt:lpstr>
      </vt:variant>
      <vt:variant>
        <vt:i4>27</vt:i4>
      </vt:variant>
    </vt:vector>
  </HeadingPairs>
  <TitlesOfParts>
    <vt:vector size="56" baseType="lpstr">
      <vt:lpstr>Quadro TBP Reeq</vt:lpstr>
      <vt:lpstr>Painel de Controle</vt:lpstr>
      <vt:lpstr>QD0</vt:lpstr>
      <vt:lpstr>QDA</vt:lpstr>
      <vt:lpstr>QDB</vt:lpstr>
      <vt:lpstr>QDC</vt:lpstr>
      <vt:lpstr>QDD</vt:lpstr>
      <vt:lpstr>QDE</vt:lpstr>
      <vt:lpstr>QDF</vt:lpstr>
      <vt:lpstr>QDG</vt:lpstr>
      <vt:lpstr>QDH</vt:lpstr>
      <vt:lpstr>QDI</vt:lpstr>
      <vt:lpstr>QDJ</vt:lpstr>
      <vt:lpstr>QDK</vt:lpstr>
      <vt:lpstr>QDL</vt:lpstr>
      <vt:lpstr>QDM</vt:lpstr>
      <vt:lpstr>BP Desalavancado</vt:lpstr>
      <vt:lpstr>BP Alavancado</vt:lpstr>
      <vt:lpstr>Base lista de opções</vt:lpstr>
      <vt:lpstr>Série Histórica IPCA</vt:lpstr>
      <vt:lpstr>Exclusões de M&amp;E</vt:lpstr>
      <vt:lpstr>Postergações VI e RE</vt:lpstr>
      <vt:lpstr>Locação Passarela</vt:lpstr>
      <vt:lpstr>8.1 Verba para PMRV</vt:lpstr>
      <vt:lpstr>Levantamento eixo suspenso ADT3</vt:lpstr>
      <vt:lpstr>Conserva de Rotina V CRA</vt:lpstr>
      <vt:lpstr>Receitas Acessórias</vt:lpstr>
      <vt:lpstr>Eixo Suspenso Pleito 6</vt:lpstr>
      <vt:lpstr>Perda de Receita Covid19</vt:lpstr>
      <vt:lpstr>QDA!Area_de_impressao</vt:lpstr>
      <vt:lpstr>QDB!Area_de_impressao</vt:lpstr>
      <vt:lpstr>QDC!Area_de_impressao</vt:lpstr>
      <vt:lpstr>QDD!Area_de_impressao</vt:lpstr>
      <vt:lpstr>QDE!Area_de_impressao</vt:lpstr>
      <vt:lpstr>QDF!Area_de_impressao</vt:lpstr>
      <vt:lpstr>QDG!Area_de_impressao</vt:lpstr>
      <vt:lpstr>QDH!Area_de_impressao</vt:lpstr>
      <vt:lpstr>QDI!Area_de_impressao</vt:lpstr>
      <vt:lpstr>QDJ!Area_de_impressao</vt:lpstr>
      <vt:lpstr>QDK!Area_de_impressao</vt:lpstr>
      <vt:lpstr>QDL!Area_de_impressao</vt:lpstr>
      <vt:lpstr>QDM!Area_de_impressao</vt:lpstr>
      <vt:lpstr>'Série Histórica IPCA'!Area_de_impressao</vt:lpstr>
      <vt:lpstr>QDA!Titulos_de_impressao</vt:lpstr>
      <vt:lpstr>QDB!Titulos_de_impressao</vt:lpstr>
      <vt:lpstr>QDC!Titulos_de_impressao</vt:lpstr>
      <vt:lpstr>QDD!Titulos_de_impressao</vt:lpstr>
      <vt:lpstr>QDE!Titulos_de_impressao</vt:lpstr>
      <vt:lpstr>QDF!Titulos_de_impressao</vt:lpstr>
      <vt:lpstr>QDG!Titulos_de_impressao</vt:lpstr>
      <vt:lpstr>QDH!Titulos_de_impressao</vt:lpstr>
      <vt:lpstr>QDI!Titulos_de_impressao</vt:lpstr>
      <vt:lpstr>QDJ!Titulos_de_impressao</vt:lpstr>
      <vt:lpstr>QDK!Titulos_de_impressao</vt:lpstr>
      <vt:lpstr>QDL!Titulos_de_impressao</vt:lpstr>
      <vt:lpstr>QDM!Titulos_de_impressao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SONY1</dc:creator>
  <cp:lastModifiedBy>Roberto C. E. O. da Silva</cp:lastModifiedBy>
  <cp:lastPrinted>2011-03-03T20:08:31Z</cp:lastPrinted>
  <dcterms:created xsi:type="dcterms:W3CDTF">2007-10-25T13:42:04Z</dcterms:created>
  <dcterms:modified xsi:type="dcterms:W3CDTF">2024-12-05T15:43:00Z</dcterms:modified>
</cp:coreProperties>
</file>